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FAS\RD\Godkendelser\Quick Calc\"/>
    </mc:Choice>
  </mc:AlternateContent>
  <xr:revisionPtr revIDLastSave="0" documentId="13_ncr:1_{25043D96-A9BF-4F5B-8602-E94EEC5453B0}" xr6:coauthVersionLast="47" xr6:coauthVersionMax="47" xr10:uidLastSave="{00000000-0000-0000-0000-000000000000}"/>
  <bookViews>
    <workbookView xWindow="-120" yWindow="-120" windowWidth="29040" windowHeight="15720" activeTab="15" xr2:uid="{00000000-000D-0000-FFFF-FFFF00000000}"/>
  </bookViews>
  <sheets>
    <sheet name="OPTIMA Compact" sheetId="12" r:id="rId1"/>
    <sheet name="OPTIMA Compact Flanged" sheetId="21" r:id="rId2"/>
    <sheet name="COMBIFLOW" sheetId="19" r:id="rId3"/>
    <sheet name="OPTIMIZER 6 way" sheetId="23" r:id="rId4"/>
    <sheet name="ALPHA" sheetId="18" r:id="rId5"/>
    <sheet name="ALPHA Wafer" sheetId="15" r:id="rId6"/>
    <sheet name="SIGMA Compact" sheetId="20" r:id="rId7"/>
    <sheet name="SIGMA Compact Flange" sheetId="26" r:id="rId8"/>
    <sheet name="PV Compact" sheetId="17" r:id="rId9"/>
    <sheet name="PV-SIGMA" sheetId="22" r:id="rId10"/>
    <sheet name="Frese VODRV" sheetId="27" r:id="rId11"/>
    <sheet name="Frese VODRV flanged 2024" sheetId="28" r:id="rId12"/>
    <sheet name="OPTIMA Compact Veriflow FCP" sheetId="30" r:id="rId13"/>
    <sheet name="OPTIMA Compact Veriflow fl FCP" sheetId="31" r:id="rId14"/>
    <sheet name="Frese VODRV FCP" sheetId="32" r:id="rId15"/>
    <sheet name="Frese VODRV flanged FCP 2024" sheetId="36" r:id="rId16"/>
  </sheets>
  <definedNames>
    <definedName name="_xlnm.Print_Area" localSheetId="0">'OPTIMA Compact'!$A$1:$J$37</definedName>
    <definedName name="_xlnm.Print_Area" localSheetId="1">'OPTIMA Compact Flanged'!$A$1:$J$46</definedName>
    <definedName name="_xlnm.Print_Area" localSheetId="12">'OPTIMA Compact Veriflow FCP'!$A$1:$I$29</definedName>
    <definedName name="_xlnm.Print_Area" localSheetId="13">'OPTIMA Compact Veriflow fl FCP'!$A$1:$H$28</definedName>
    <definedName name="_xlnm.Print_Area" localSheetId="8">'PV Compact'!$A$1:$J$37</definedName>
    <definedName name="_xlnm.Print_Area" localSheetId="9">'PV-SIGMA'!$A$1:$J$42</definedName>
    <definedName name="_xlnm.Print_Area" localSheetId="6">'SIGMA Compact'!$A$1:$K$33</definedName>
    <definedName name="_xlnm.Print_Area" localSheetId="7">'SIGMA Compact Flange'!$A$1:$J$46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0" l="1"/>
  <c r="D22" i="30"/>
  <c r="D47" i="12"/>
  <c r="D16" i="12" s="1"/>
  <c r="B27" i="36"/>
  <c r="B27" i="28"/>
  <c r="F137" i="28"/>
  <c r="F136" i="28"/>
  <c r="F135" i="28"/>
  <c r="F134" i="28"/>
  <c r="F132" i="28"/>
  <c r="F131" i="28"/>
  <c r="F130" i="28"/>
  <c r="F129" i="28"/>
  <c r="D27" i="36"/>
  <c r="G136" i="36"/>
  <c r="G135" i="36"/>
  <c r="G134" i="36"/>
  <c r="G133" i="36"/>
  <c r="G131" i="36"/>
  <c r="G130" i="36"/>
  <c r="G129" i="36"/>
  <c r="G128" i="36"/>
  <c r="E16" i="12" l="1"/>
  <c r="D33" i="36"/>
  <c r="D32" i="36"/>
  <c r="D31" i="36"/>
  <c r="D30" i="36"/>
  <c r="D29" i="36"/>
  <c r="D28" i="36"/>
  <c r="D26" i="36"/>
  <c r="D25" i="36"/>
  <c r="D24" i="36"/>
  <c r="D23" i="36"/>
  <c r="D22" i="36"/>
  <c r="M226" i="36"/>
  <c r="L226" i="36"/>
  <c r="K226" i="36"/>
  <c r="J226" i="36"/>
  <c r="M225" i="36"/>
  <c r="L225" i="36"/>
  <c r="K225" i="36"/>
  <c r="J225" i="36"/>
  <c r="M224" i="36"/>
  <c r="L224" i="36"/>
  <c r="K224" i="36"/>
  <c r="J224" i="36"/>
  <c r="M223" i="36"/>
  <c r="L223" i="36"/>
  <c r="K223" i="36"/>
  <c r="J223" i="36"/>
  <c r="M222" i="36"/>
  <c r="L222" i="36"/>
  <c r="K222" i="36"/>
  <c r="J222" i="36"/>
  <c r="M221" i="36"/>
  <c r="L221" i="36"/>
  <c r="K221" i="36"/>
  <c r="J221" i="36"/>
  <c r="M220" i="36"/>
  <c r="L220" i="36"/>
  <c r="K220" i="36"/>
  <c r="J220" i="36"/>
  <c r="M219" i="36"/>
  <c r="L219" i="36"/>
  <c r="K219" i="36"/>
  <c r="J219" i="36"/>
  <c r="M218" i="36"/>
  <c r="L218" i="36"/>
  <c r="K218" i="36"/>
  <c r="J218" i="36"/>
  <c r="M216" i="36"/>
  <c r="L216" i="36"/>
  <c r="K216" i="36"/>
  <c r="J216" i="36"/>
  <c r="M215" i="36"/>
  <c r="L215" i="36"/>
  <c r="K215" i="36"/>
  <c r="J215" i="36"/>
  <c r="M214" i="36"/>
  <c r="L214" i="36"/>
  <c r="K214" i="36"/>
  <c r="J214" i="36"/>
  <c r="M213" i="36"/>
  <c r="L213" i="36"/>
  <c r="K213" i="36"/>
  <c r="J213" i="36"/>
  <c r="M212" i="36"/>
  <c r="L212" i="36"/>
  <c r="K212" i="36"/>
  <c r="J212" i="36"/>
  <c r="M211" i="36"/>
  <c r="L211" i="36"/>
  <c r="K211" i="36"/>
  <c r="J211" i="36"/>
  <c r="M210" i="36"/>
  <c r="L210" i="36"/>
  <c r="K210" i="36"/>
  <c r="J210" i="36"/>
  <c r="M209" i="36"/>
  <c r="L209" i="36"/>
  <c r="K209" i="36"/>
  <c r="J209" i="36"/>
  <c r="M208" i="36"/>
  <c r="L208" i="36"/>
  <c r="K208" i="36"/>
  <c r="J208" i="36"/>
  <c r="M206" i="36"/>
  <c r="L206" i="36"/>
  <c r="K206" i="36"/>
  <c r="J206" i="36"/>
  <c r="M205" i="36"/>
  <c r="L205" i="36"/>
  <c r="K205" i="36"/>
  <c r="J205" i="36"/>
  <c r="M204" i="36"/>
  <c r="L204" i="36"/>
  <c r="K204" i="36"/>
  <c r="J204" i="36"/>
  <c r="M203" i="36"/>
  <c r="L203" i="36"/>
  <c r="K203" i="36"/>
  <c r="J203" i="36"/>
  <c r="M202" i="36"/>
  <c r="L202" i="36"/>
  <c r="K202" i="36"/>
  <c r="J202" i="36"/>
  <c r="M201" i="36"/>
  <c r="L201" i="36"/>
  <c r="K201" i="36"/>
  <c r="J201" i="36"/>
  <c r="M200" i="36"/>
  <c r="L200" i="36"/>
  <c r="K200" i="36"/>
  <c r="J200" i="36"/>
  <c r="M199" i="36"/>
  <c r="L199" i="36"/>
  <c r="K199" i="36"/>
  <c r="J199" i="36"/>
  <c r="M198" i="36"/>
  <c r="L198" i="36"/>
  <c r="K198" i="36"/>
  <c r="J198" i="36"/>
  <c r="M196" i="36"/>
  <c r="L196" i="36"/>
  <c r="K196" i="36"/>
  <c r="J196" i="36"/>
  <c r="M195" i="36"/>
  <c r="L195" i="36"/>
  <c r="K195" i="36"/>
  <c r="J195" i="36"/>
  <c r="M194" i="36"/>
  <c r="L194" i="36"/>
  <c r="K194" i="36"/>
  <c r="J194" i="36"/>
  <c r="M193" i="36"/>
  <c r="L193" i="36"/>
  <c r="K193" i="36"/>
  <c r="J193" i="36"/>
  <c r="M192" i="36"/>
  <c r="L192" i="36"/>
  <c r="K192" i="36"/>
  <c r="J192" i="36"/>
  <c r="M191" i="36"/>
  <c r="L191" i="36"/>
  <c r="K191" i="36"/>
  <c r="J191" i="36"/>
  <c r="M190" i="36"/>
  <c r="L190" i="36"/>
  <c r="K190" i="36"/>
  <c r="J190" i="36"/>
  <c r="M189" i="36"/>
  <c r="L189" i="36"/>
  <c r="K189" i="36"/>
  <c r="J189" i="36"/>
  <c r="M188" i="36"/>
  <c r="L188" i="36"/>
  <c r="K188" i="36"/>
  <c r="J188" i="36"/>
  <c r="M186" i="36"/>
  <c r="L186" i="36"/>
  <c r="K186" i="36"/>
  <c r="J186" i="36"/>
  <c r="M185" i="36"/>
  <c r="L185" i="36"/>
  <c r="K185" i="36"/>
  <c r="J185" i="36"/>
  <c r="M184" i="36"/>
  <c r="L184" i="36"/>
  <c r="K184" i="36"/>
  <c r="J184" i="36"/>
  <c r="M183" i="36"/>
  <c r="L183" i="36"/>
  <c r="K183" i="36"/>
  <c r="J183" i="36"/>
  <c r="M182" i="36"/>
  <c r="L182" i="36"/>
  <c r="K182" i="36"/>
  <c r="J182" i="36"/>
  <c r="M181" i="36"/>
  <c r="L181" i="36"/>
  <c r="K181" i="36"/>
  <c r="J181" i="36"/>
  <c r="M180" i="36"/>
  <c r="L180" i="36"/>
  <c r="K180" i="36"/>
  <c r="J180" i="36"/>
  <c r="M179" i="36"/>
  <c r="L179" i="36"/>
  <c r="K179" i="36"/>
  <c r="J179" i="36"/>
  <c r="M178" i="36"/>
  <c r="L178" i="36"/>
  <c r="K178" i="36"/>
  <c r="J178" i="36"/>
  <c r="M176" i="36"/>
  <c r="L176" i="36"/>
  <c r="K176" i="36"/>
  <c r="J176" i="36"/>
  <c r="M175" i="36"/>
  <c r="L175" i="36"/>
  <c r="K175" i="36"/>
  <c r="J175" i="36"/>
  <c r="M174" i="36"/>
  <c r="L174" i="36"/>
  <c r="K174" i="36"/>
  <c r="J174" i="36"/>
  <c r="M173" i="36"/>
  <c r="L173" i="36"/>
  <c r="K173" i="36"/>
  <c r="J173" i="36"/>
  <c r="M172" i="36"/>
  <c r="L172" i="36"/>
  <c r="K172" i="36"/>
  <c r="J172" i="36"/>
  <c r="M171" i="36"/>
  <c r="L171" i="36"/>
  <c r="K171" i="36"/>
  <c r="J171" i="36"/>
  <c r="M170" i="36"/>
  <c r="L170" i="36"/>
  <c r="K170" i="36"/>
  <c r="J170" i="36"/>
  <c r="M169" i="36"/>
  <c r="L169" i="36"/>
  <c r="K169" i="36"/>
  <c r="J169" i="36"/>
  <c r="M168" i="36"/>
  <c r="L168" i="36"/>
  <c r="K168" i="36"/>
  <c r="J168" i="36"/>
  <c r="M166" i="36"/>
  <c r="L166" i="36"/>
  <c r="K166" i="36"/>
  <c r="J166" i="36"/>
  <c r="I166" i="36"/>
  <c r="M165" i="36"/>
  <c r="L165" i="36"/>
  <c r="K165" i="36"/>
  <c r="J165" i="36"/>
  <c r="I165" i="36"/>
  <c r="M164" i="36"/>
  <c r="L164" i="36"/>
  <c r="K164" i="36"/>
  <c r="J164" i="36"/>
  <c r="I164" i="36"/>
  <c r="M163" i="36"/>
  <c r="L163" i="36"/>
  <c r="K163" i="36"/>
  <c r="J163" i="36"/>
  <c r="I163" i="36"/>
  <c r="M162" i="36"/>
  <c r="L162" i="36"/>
  <c r="K162" i="36"/>
  <c r="J162" i="36"/>
  <c r="I162" i="36"/>
  <c r="M161" i="36"/>
  <c r="L161" i="36"/>
  <c r="K161" i="36"/>
  <c r="J161" i="36"/>
  <c r="I161" i="36"/>
  <c r="M160" i="36"/>
  <c r="L160" i="36"/>
  <c r="K160" i="36"/>
  <c r="J160" i="36"/>
  <c r="I160" i="36"/>
  <c r="M159" i="36"/>
  <c r="L159" i="36"/>
  <c r="K159" i="36"/>
  <c r="J159" i="36"/>
  <c r="I159" i="36"/>
  <c r="M158" i="36"/>
  <c r="L158" i="36"/>
  <c r="K158" i="36"/>
  <c r="J158" i="36"/>
  <c r="I158" i="36"/>
  <c r="M156" i="36"/>
  <c r="L156" i="36"/>
  <c r="K156" i="36"/>
  <c r="J156" i="36"/>
  <c r="I156" i="36"/>
  <c r="H156" i="36"/>
  <c r="M155" i="36"/>
  <c r="L155" i="36"/>
  <c r="K155" i="36"/>
  <c r="J155" i="36"/>
  <c r="I155" i="36"/>
  <c r="H155" i="36"/>
  <c r="M154" i="36"/>
  <c r="L154" i="36"/>
  <c r="K154" i="36"/>
  <c r="J154" i="36"/>
  <c r="I154" i="36"/>
  <c r="H154" i="36"/>
  <c r="M153" i="36"/>
  <c r="L153" i="36"/>
  <c r="K153" i="36"/>
  <c r="J153" i="36"/>
  <c r="I153" i="36"/>
  <c r="H153" i="36"/>
  <c r="M152" i="36"/>
  <c r="L152" i="36"/>
  <c r="K152" i="36"/>
  <c r="J152" i="36"/>
  <c r="I152" i="36"/>
  <c r="H152" i="36"/>
  <c r="M151" i="36"/>
  <c r="L151" i="36"/>
  <c r="K151" i="36"/>
  <c r="J151" i="36"/>
  <c r="I151" i="36"/>
  <c r="H151" i="36"/>
  <c r="M150" i="36"/>
  <c r="L150" i="36"/>
  <c r="K150" i="36"/>
  <c r="J150" i="36"/>
  <c r="I150" i="36"/>
  <c r="H150" i="36"/>
  <c r="M149" i="36"/>
  <c r="L149" i="36"/>
  <c r="K149" i="36"/>
  <c r="J149" i="36"/>
  <c r="I149" i="36"/>
  <c r="H149" i="36"/>
  <c r="M148" i="36"/>
  <c r="L148" i="36"/>
  <c r="K148" i="36"/>
  <c r="J148" i="36"/>
  <c r="I148" i="36"/>
  <c r="H148" i="36"/>
  <c r="M146" i="36"/>
  <c r="L146" i="36"/>
  <c r="K146" i="36"/>
  <c r="J146" i="36"/>
  <c r="I146" i="36"/>
  <c r="H146" i="36"/>
  <c r="M145" i="36"/>
  <c r="L145" i="36"/>
  <c r="K145" i="36"/>
  <c r="J145" i="36"/>
  <c r="I145" i="36"/>
  <c r="H145" i="36"/>
  <c r="M144" i="36"/>
  <c r="L144" i="36"/>
  <c r="K144" i="36"/>
  <c r="J144" i="36"/>
  <c r="I144" i="36"/>
  <c r="H144" i="36"/>
  <c r="M143" i="36"/>
  <c r="L143" i="36"/>
  <c r="K143" i="36"/>
  <c r="J143" i="36"/>
  <c r="I143" i="36"/>
  <c r="H143" i="36"/>
  <c r="M142" i="36"/>
  <c r="L142" i="36"/>
  <c r="K142" i="36"/>
  <c r="J142" i="36"/>
  <c r="I142" i="36"/>
  <c r="H142" i="36"/>
  <c r="M141" i="36"/>
  <c r="L141" i="36"/>
  <c r="K141" i="36"/>
  <c r="J141" i="36"/>
  <c r="I141" i="36"/>
  <c r="H141" i="36"/>
  <c r="M140" i="36"/>
  <c r="L140" i="36"/>
  <c r="K140" i="36"/>
  <c r="J140" i="36"/>
  <c r="I140" i="36"/>
  <c r="H140" i="36"/>
  <c r="M139" i="36"/>
  <c r="L139" i="36"/>
  <c r="K139" i="36"/>
  <c r="J139" i="36"/>
  <c r="I139" i="36"/>
  <c r="H139" i="36"/>
  <c r="M138" i="36"/>
  <c r="L138" i="36"/>
  <c r="K138" i="36"/>
  <c r="J138" i="36"/>
  <c r="I138" i="36"/>
  <c r="H138" i="36"/>
  <c r="M136" i="36"/>
  <c r="L136" i="36"/>
  <c r="K136" i="36"/>
  <c r="J136" i="36"/>
  <c r="I136" i="36"/>
  <c r="H136" i="36"/>
  <c r="M135" i="36"/>
  <c r="L135" i="36"/>
  <c r="K135" i="36"/>
  <c r="J135" i="36"/>
  <c r="I135" i="36"/>
  <c r="H135" i="36"/>
  <c r="M134" i="36"/>
  <c r="L134" i="36"/>
  <c r="K134" i="36"/>
  <c r="J134" i="36"/>
  <c r="I134" i="36"/>
  <c r="H134" i="36"/>
  <c r="M133" i="36"/>
  <c r="L133" i="36"/>
  <c r="K133" i="36"/>
  <c r="J133" i="36"/>
  <c r="I133" i="36"/>
  <c r="H133" i="36"/>
  <c r="M132" i="36"/>
  <c r="L132" i="36"/>
  <c r="K132" i="36"/>
  <c r="J132" i="36"/>
  <c r="I132" i="36"/>
  <c r="H132" i="36"/>
  <c r="M131" i="36"/>
  <c r="L131" i="36"/>
  <c r="K131" i="36"/>
  <c r="J131" i="36"/>
  <c r="I131" i="36"/>
  <c r="H131" i="36"/>
  <c r="M130" i="36"/>
  <c r="L130" i="36"/>
  <c r="K130" i="36"/>
  <c r="J130" i="36"/>
  <c r="I130" i="36"/>
  <c r="H130" i="36"/>
  <c r="M129" i="36"/>
  <c r="L129" i="36"/>
  <c r="K129" i="36"/>
  <c r="J129" i="36"/>
  <c r="I129" i="36"/>
  <c r="H129" i="36"/>
  <c r="M128" i="36"/>
  <c r="L128" i="36"/>
  <c r="K128" i="36"/>
  <c r="J128" i="36"/>
  <c r="I128" i="36"/>
  <c r="H128" i="36"/>
  <c r="M126" i="36"/>
  <c r="L126" i="36"/>
  <c r="K126" i="36"/>
  <c r="J126" i="36"/>
  <c r="I126" i="36"/>
  <c r="H126" i="36"/>
  <c r="G126" i="36"/>
  <c r="F126" i="36"/>
  <c r="E126" i="36"/>
  <c r="D126" i="36"/>
  <c r="C126" i="36"/>
  <c r="B126" i="36"/>
  <c r="M125" i="36"/>
  <c r="L125" i="36"/>
  <c r="K125" i="36"/>
  <c r="J125" i="36"/>
  <c r="I125" i="36"/>
  <c r="H125" i="36"/>
  <c r="G125" i="36"/>
  <c r="F125" i="36"/>
  <c r="E125" i="36"/>
  <c r="D125" i="36"/>
  <c r="C125" i="36"/>
  <c r="B125" i="36"/>
  <c r="M124" i="36"/>
  <c r="L124" i="36"/>
  <c r="K124" i="36"/>
  <c r="J124" i="36"/>
  <c r="I124" i="36"/>
  <c r="H124" i="36"/>
  <c r="G124" i="36"/>
  <c r="F124" i="36"/>
  <c r="E124" i="36"/>
  <c r="D124" i="36"/>
  <c r="C124" i="36"/>
  <c r="B124" i="36"/>
  <c r="M123" i="36"/>
  <c r="L123" i="36"/>
  <c r="K123" i="36"/>
  <c r="J123" i="36"/>
  <c r="I123" i="36"/>
  <c r="H123" i="36"/>
  <c r="G123" i="36"/>
  <c r="F123" i="36"/>
  <c r="E123" i="36"/>
  <c r="D123" i="36"/>
  <c r="C123" i="36"/>
  <c r="B123" i="36"/>
  <c r="M122" i="36"/>
  <c r="L122" i="36"/>
  <c r="K122" i="36"/>
  <c r="J122" i="36"/>
  <c r="I122" i="36"/>
  <c r="H122" i="36"/>
  <c r="G122" i="36"/>
  <c r="F122" i="36"/>
  <c r="E122" i="36"/>
  <c r="D122" i="36"/>
  <c r="C122" i="36"/>
  <c r="B122" i="36"/>
  <c r="M121" i="36"/>
  <c r="L121" i="36"/>
  <c r="K121" i="36"/>
  <c r="J121" i="36"/>
  <c r="I121" i="36"/>
  <c r="H121" i="36"/>
  <c r="G121" i="36"/>
  <c r="F121" i="36"/>
  <c r="E121" i="36"/>
  <c r="D121" i="36"/>
  <c r="C121" i="36"/>
  <c r="B121" i="36"/>
  <c r="M120" i="36"/>
  <c r="L120" i="36"/>
  <c r="K120" i="36"/>
  <c r="J120" i="36"/>
  <c r="I120" i="36"/>
  <c r="H120" i="36"/>
  <c r="G120" i="36"/>
  <c r="F120" i="36"/>
  <c r="E120" i="36"/>
  <c r="D120" i="36"/>
  <c r="C120" i="36"/>
  <c r="B120" i="36"/>
  <c r="M119" i="36"/>
  <c r="L119" i="36"/>
  <c r="K119" i="36"/>
  <c r="J119" i="36"/>
  <c r="I119" i="36"/>
  <c r="H119" i="36"/>
  <c r="G119" i="36"/>
  <c r="F119" i="36"/>
  <c r="E119" i="36"/>
  <c r="D119" i="36"/>
  <c r="C119" i="36"/>
  <c r="B119" i="36"/>
  <c r="M118" i="36"/>
  <c r="L118" i="36"/>
  <c r="K118" i="36"/>
  <c r="J118" i="36"/>
  <c r="I118" i="36"/>
  <c r="H118" i="36"/>
  <c r="G118" i="36"/>
  <c r="F118" i="36"/>
  <c r="E118" i="36"/>
  <c r="D118" i="36"/>
  <c r="C118" i="36"/>
  <c r="B118" i="36"/>
  <c r="M116" i="36"/>
  <c r="L116" i="36"/>
  <c r="K116" i="36"/>
  <c r="J116" i="36"/>
  <c r="I116" i="36"/>
  <c r="H116" i="36"/>
  <c r="G116" i="36"/>
  <c r="F116" i="36"/>
  <c r="E116" i="36"/>
  <c r="D116" i="36"/>
  <c r="C116" i="36"/>
  <c r="B116" i="36"/>
  <c r="M115" i="36"/>
  <c r="L115" i="36"/>
  <c r="K115" i="36"/>
  <c r="J115" i="36"/>
  <c r="I115" i="36"/>
  <c r="H115" i="36"/>
  <c r="G115" i="36"/>
  <c r="F115" i="36"/>
  <c r="E115" i="36"/>
  <c r="D115" i="36"/>
  <c r="C115" i="36"/>
  <c r="B115" i="36"/>
  <c r="M114" i="36"/>
  <c r="L114" i="36"/>
  <c r="K114" i="36"/>
  <c r="J114" i="36"/>
  <c r="I114" i="36"/>
  <c r="H114" i="36"/>
  <c r="G114" i="36"/>
  <c r="F114" i="36"/>
  <c r="E114" i="36"/>
  <c r="D114" i="36"/>
  <c r="C114" i="36"/>
  <c r="B114" i="36"/>
  <c r="M113" i="36"/>
  <c r="L113" i="36"/>
  <c r="K113" i="36"/>
  <c r="J113" i="36"/>
  <c r="I113" i="36"/>
  <c r="H113" i="36"/>
  <c r="G113" i="36"/>
  <c r="F113" i="36"/>
  <c r="E113" i="36"/>
  <c r="D113" i="36"/>
  <c r="C113" i="36"/>
  <c r="B113" i="36"/>
  <c r="M112" i="36"/>
  <c r="L112" i="36"/>
  <c r="K112" i="36"/>
  <c r="J112" i="36"/>
  <c r="I112" i="36"/>
  <c r="H112" i="36"/>
  <c r="G112" i="36"/>
  <c r="F112" i="36"/>
  <c r="E112" i="36"/>
  <c r="D112" i="36"/>
  <c r="C112" i="36"/>
  <c r="B112" i="36"/>
  <c r="M111" i="36"/>
  <c r="L111" i="36"/>
  <c r="K111" i="36"/>
  <c r="J111" i="36"/>
  <c r="I111" i="36"/>
  <c r="H111" i="36"/>
  <c r="G111" i="36"/>
  <c r="F111" i="36"/>
  <c r="E111" i="36"/>
  <c r="D111" i="36"/>
  <c r="C111" i="36"/>
  <c r="B111" i="36"/>
  <c r="M110" i="36"/>
  <c r="L110" i="36"/>
  <c r="K110" i="36"/>
  <c r="J110" i="36"/>
  <c r="I110" i="36"/>
  <c r="H110" i="36"/>
  <c r="G110" i="36"/>
  <c r="F110" i="36"/>
  <c r="E110" i="36"/>
  <c r="D110" i="36"/>
  <c r="C110" i="36"/>
  <c r="B110" i="36"/>
  <c r="M109" i="36"/>
  <c r="L109" i="36"/>
  <c r="K109" i="36"/>
  <c r="J109" i="36"/>
  <c r="I109" i="36"/>
  <c r="H109" i="36"/>
  <c r="G109" i="36"/>
  <c r="F109" i="36"/>
  <c r="E109" i="36"/>
  <c r="D109" i="36"/>
  <c r="C109" i="36"/>
  <c r="B109" i="36"/>
  <c r="M108" i="36"/>
  <c r="L108" i="36"/>
  <c r="K108" i="36"/>
  <c r="J108" i="36"/>
  <c r="I108" i="36"/>
  <c r="H108" i="36"/>
  <c r="G108" i="36"/>
  <c r="F108" i="36"/>
  <c r="E108" i="36"/>
  <c r="D108" i="36"/>
  <c r="C108" i="36"/>
  <c r="B108" i="36"/>
  <c r="M106" i="36"/>
  <c r="L106" i="36"/>
  <c r="K106" i="36"/>
  <c r="J106" i="36"/>
  <c r="I106" i="36"/>
  <c r="H106" i="36"/>
  <c r="G106" i="36"/>
  <c r="F106" i="36"/>
  <c r="E106" i="36"/>
  <c r="D106" i="36"/>
  <c r="C106" i="36"/>
  <c r="B106" i="36"/>
  <c r="M105" i="36"/>
  <c r="L105" i="36"/>
  <c r="K105" i="36"/>
  <c r="J105" i="36"/>
  <c r="I105" i="36"/>
  <c r="H105" i="36"/>
  <c r="G105" i="36"/>
  <c r="F105" i="36"/>
  <c r="E105" i="36"/>
  <c r="D105" i="36"/>
  <c r="C105" i="36"/>
  <c r="B105" i="36"/>
  <c r="M104" i="36"/>
  <c r="L104" i="36"/>
  <c r="K104" i="36"/>
  <c r="J104" i="36"/>
  <c r="I104" i="36"/>
  <c r="H104" i="36"/>
  <c r="G104" i="36"/>
  <c r="F104" i="36"/>
  <c r="E104" i="36"/>
  <c r="D104" i="36"/>
  <c r="C104" i="36"/>
  <c r="B104" i="36"/>
  <c r="M103" i="36"/>
  <c r="L103" i="36"/>
  <c r="K103" i="36"/>
  <c r="J103" i="36"/>
  <c r="I103" i="36"/>
  <c r="H103" i="36"/>
  <c r="G103" i="36"/>
  <c r="F103" i="36"/>
  <c r="E103" i="36"/>
  <c r="D103" i="36"/>
  <c r="C103" i="36"/>
  <c r="B103" i="36"/>
  <c r="M102" i="36"/>
  <c r="L102" i="36"/>
  <c r="K102" i="36"/>
  <c r="J102" i="36"/>
  <c r="I102" i="36"/>
  <c r="H102" i="36"/>
  <c r="G102" i="36"/>
  <c r="F102" i="36"/>
  <c r="E102" i="36"/>
  <c r="D102" i="36"/>
  <c r="C102" i="36"/>
  <c r="B102" i="36"/>
  <c r="M101" i="36"/>
  <c r="L101" i="36"/>
  <c r="K101" i="36"/>
  <c r="J101" i="36"/>
  <c r="I101" i="36"/>
  <c r="H101" i="36"/>
  <c r="G101" i="36"/>
  <c r="F101" i="36"/>
  <c r="E101" i="36"/>
  <c r="D101" i="36"/>
  <c r="C101" i="36"/>
  <c r="B101" i="36"/>
  <c r="M100" i="36"/>
  <c r="L100" i="36"/>
  <c r="K100" i="36"/>
  <c r="J100" i="36"/>
  <c r="I100" i="36"/>
  <c r="H100" i="36"/>
  <c r="G100" i="36"/>
  <c r="F100" i="36"/>
  <c r="E100" i="36"/>
  <c r="D100" i="36"/>
  <c r="C100" i="36"/>
  <c r="B100" i="36"/>
  <c r="M99" i="36"/>
  <c r="L99" i="36"/>
  <c r="K99" i="36"/>
  <c r="J99" i="36"/>
  <c r="I99" i="36"/>
  <c r="H99" i="36"/>
  <c r="G99" i="36"/>
  <c r="F99" i="36"/>
  <c r="E99" i="36"/>
  <c r="D99" i="36"/>
  <c r="C99" i="36"/>
  <c r="B99" i="36"/>
  <c r="M98" i="36"/>
  <c r="L98" i="36"/>
  <c r="K98" i="36"/>
  <c r="J98" i="36"/>
  <c r="I98" i="36"/>
  <c r="H98" i="36"/>
  <c r="G98" i="36"/>
  <c r="F98" i="36"/>
  <c r="E98" i="36"/>
  <c r="D98" i="36"/>
  <c r="C98" i="36"/>
  <c r="B98" i="36"/>
  <c r="M96" i="36"/>
  <c r="L96" i="36"/>
  <c r="K96" i="36"/>
  <c r="J96" i="36"/>
  <c r="I96" i="36"/>
  <c r="H96" i="36"/>
  <c r="G96" i="36"/>
  <c r="F96" i="36"/>
  <c r="E96" i="36"/>
  <c r="D96" i="36"/>
  <c r="C96" i="36"/>
  <c r="B96" i="36"/>
  <c r="M95" i="36"/>
  <c r="L95" i="36"/>
  <c r="K95" i="36"/>
  <c r="J95" i="36"/>
  <c r="I95" i="36"/>
  <c r="H95" i="36"/>
  <c r="G95" i="36"/>
  <c r="F95" i="36"/>
  <c r="E95" i="36"/>
  <c r="D95" i="36"/>
  <c r="C95" i="36"/>
  <c r="B95" i="36"/>
  <c r="M94" i="36"/>
  <c r="L94" i="36"/>
  <c r="K94" i="36"/>
  <c r="J94" i="36"/>
  <c r="I94" i="36"/>
  <c r="H94" i="36"/>
  <c r="G94" i="36"/>
  <c r="F94" i="36"/>
  <c r="E94" i="36"/>
  <c r="D94" i="36"/>
  <c r="C94" i="36"/>
  <c r="B94" i="36"/>
  <c r="M93" i="36"/>
  <c r="L93" i="36"/>
  <c r="K93" i="36"/>
  <c r="J93" i="36"/>
  <c r="I93" i="36"/>
  <c r="H93" i="36"/>
  <c r="G93" i="36"/>
  <c r="F93" i="36"/>
  <c r="E93" i="36"/>
  <c r="D93" i="36"/>
  <c r="C93" i="36"/>
  <c r="B93" i="36"/>
  <c r="M92" i="36"/>
  <c r="L92" i="36"/>
  <c r="K92" i="36"/>
  <c r="J92" i="36"/>
  <c r="I92" i="36"/>
  <c r="H92" i="36"/>
  <c r="G92" i="36"/>
  <c r="F92" i="36"/>
  <c r="E92" i="36"/>
  <c r="D92" i="36"/>
  <c r="C92" i="36"/>
  <c r="B92" i="36"/>
  <c r="M91" i="36"/>
  <c r="L91" i="36"/>
  <c r="K91" i="36"/>
  <c r="J91" i="36"/>
  <c r="I91" i="36"/>
  <c r="H91" i="36"/>
  <c r="G91" i="36"/>
  <c r="F91" i="36"/>
  <c r="E91" i="36"/>
  <c r="D91" i="36"/>
  <c r="C91" i="36"/>
  <c r="B91" i="36"/>
  <c r="M90" i="36"/>
  <c r="L90" i="36"/>
  <c r="K90" i="36"/>
  <c r="J90" i="36"/>
  <c r="I90" i="36"/>
  <c r="H90" i="36"/>
  <c r="G90" i="36"/>
  <c r="F90" i="36"/>
  <c r="E90" i="36"/>
  <c r="D90" i="36"/>
  <c r="C90" i="36"/>
  <c r="B90" i="36"/>
  <c r="M89" i="36"/>
  <c r="L89" i="36"/>
  <c r="K89" i="36"/>
  <c r="J89" i="36"/>
  <c r="I89" i="36"/>
  <c r="H89" i="36"/>
  <c r="G89" i="36"/>
  <c r="F89" i="36"/>
  <c r="E89" i="36"/>
  <c r="D89" i="36"/>
  <c r="C89" i="36"/>
  <c r="B89" i="36"/>
  <c r="M88" i="36"/>
  <c r="L88" i="36"/>
  <c r="K88" i="36"/>
  <c r="J88" i="36"/>
  <c r="I88" i="36"/>
  <c r="H88" i="36"/>
  <c r="G88" i="36"/>
  <c r="F88" i="36"/>
  <c r="E88" i="36"/>
  <c r="D88" i="36"/>
  <c r="C88" i="36"/>
  <c r="B88" i="36"/>
  <c r="M86" i="36"/>
  <c r="L86" i="36"/>
  <c r="K86" i="36"/>
  <c r="J86" i="36"/>
  <c r="I86" i="36"/>
  <c r="H86" i="36"/>
  <c r="G86" i="36"/>
  <c r="F86" i="36"/>
  <c r="E86" i="36"/>
  <c r="D86" i="36"/>
  <c r="C86" i="36"/>
  <c r="B86" i="36"/>
  <c r="M85" i="36"/>
  <c r="L85" i="36"/>
  <c r="K85" i="36"/>
  <c r="J85" i="36"/>
  <c r="I85" i="36"/>
  <c r="H85" i="36"/>
  <c r="G85" i="36"/>
  <c r="F85" i="36"/>
  <c r="E85" i="36"/>
  <c r="D85" i="36"/>
  <c r="C85" i="36"/>
  <c r="B85" i="36"/>
  <c r="M84" i="36"/>
  <c r="L84" i="36"/>
  <c r="K84" i="36"/>
  <c r="J84" i="36"/>
  <c r="I84" i="36"/>
  <c r="H84" i="36"/>
  <c r="G84" i="36"/>
  <c r="F84" i="36"/>
  <c r="E84" i="36"/>
  <c r="D84" i="36"/>
  <c r="C84" i="36"/>
  <c r="B84" i="36"/>
  <c r="M83" i="36"/>
  <c r="L83" i="36"/>
  <c r="K83" i="36"/>
  <c r="J83" i="36"/>
  <c r="I83" i="36"/>
  <c r="H83" i="36"/>
  <c r="G83" i="36"/>
  <c r="F83" i="36"/>
  <c r="E83" i="36"/>
  <c r="D83" i="36"/>
  <c r="C83" i="36"/>
  <c r="B83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M59" i="36"/>
  <c r="L59" i="36"/>
  <c r="K59" i="36"/>
  <c r="J59" i="36"/>
  <c r="I59" i="36"/>
  <c r="H59" i="36"/>
  <c r="G59" i="36"/>
  <c r="F59" i="36"/>
  <c r="E59" i="36"/>
  <c r="D59" i="36"/>
  <c r="C59" i="36"/>
  <c r="B59" i="36"/>
  <c r="M58" i="36"/>
  <c r="L58" i="36"/>
  <c r="K58" i="36"/>
  <c r="J58" i="36"/>
  <c r="I58" i="36"/>
  <c r="H58" i="36"/>
  <c r="G58" i="36"/>
  <c r="F58" i="36"/>
  <c r="E58" i="36"/>
  <c r="D58" i="36"/>
  <c r="C58" i="36"/>
  <c r="B58" i="36"/>
  <c r="M56" i="36"/>
  <c r="L56" i="36"/>
  <c r="K56" i="36"/>
  <c r="J56" i="36"/>
  <c r="I56" i="36"/>
  <c r="H56" i="36"/>
  <c r="G56" i="36"/>
  <c r="F56" i="36"/>
  <c r="E56" i="36"/>
  <c r="D56" i="36"/>
  <c r="C56" i="36"/>
  <c r="B56" i="36"/>
  <c r="M55" i="36"/>
  <c r="L55" i="36"/>
  <c r="K55" i="36"/>
  <c r="J55" i="36"/>
  <c r="I55" i="36"/>
  <c r="H55" i="36"/>
  <c r="G55" i="36"/>
  <c r="F55" i="36"/>
  <c r="E55" i="36"/>
  <c r="D55" i="36"/>
  <c r="C55" i="36"/>
  <c r="B55" i="36"/>
  <c r="M54" i="36"/>
  <c r="L54" i="36"/>
  <c r="K54" i="36"/>
  <c r="J54" i="36"/>
  <c r="I54" i="36"/>
  <c r="H54" i="36"/>
  <c r="G54" i="36"/>
  <c r="F54" i="36"/>
  <c r="E54" i="36"/>
  <c r="D54" i="36"/>
  <c r="C54" i="36"/>
  <c r="B54" i="36"/>
  <c r="M53" i="36"/>
  <c r="L53" i="36"/>
  <c r="K53" i="36"/>
  <c r="J53" i="36"/>
  <c r="I53" i="36"/>
  <c r="H53" i="36"/>
  <c r="G53" i="36"/>
  <c r="F53" i="36"/>
  <c r="E53" i="36"/>
  <c r="D53" i="36"/>
  <c r="C53" i="36"/>
  <c r="B53" i="36"/>
  <c r="M52" i="36"/>
  <c r="L52" i="36"/>
  <c r="K52" i="36"/>
  <c r="J52" i="36"/>
  <c r="I52" i="36"/>
  <c r="H52" i="36"/>
  <c r="G52" i="36"/>
  <c r="F52" i="36"/>
  <c r="E52" i="36"/>
  <c r="D52" i="36"/>
  <c r="C52" i="36"/>
  <c r="B52" i="36"/>
  <c r="M51" i="36"/>
  <c r="L51" i="36"/>
  <c r="K51" i="36"/>
  <c r="J51" i="36"/>
  <c r="I51" i="36"/>
  <c r="H51" i="36"/>
  <c r="G51" i="36"/>
  <c r="F51" i="36"/>
  <c r="E51" i="36"/>
  <c r="D51" i="36"/>
  <c r="C51" i="36"/>
  <c r="B51" i="36"/>
  <c r="M50" i="36"/>
  <c r="L50" i="36"/>
  <c r="K50" i="36"/>
  <c r="J50" i="36"/>
  <c r="I50" i="36"/>
  <c r="H50" i="36"/>
  <c r="G50" i="36"/>
  <c r="F50" i="36"/>
  <c r="E50" i="36"/>
  <c r="D50" i="36"/>
  <c r="C50" i="36"/>
  <c r="B50" i="36"/>
  <c r="M49" i="36"/>
  <c r="L49" i="36"/>
  <c r="K49" i="36"/>
  <c r="J49" i="36"/>
  <c r="I49" i="36"/>
  <c r="H49" i="36"/>
  <c r="G49" i="36"/>
  <c r="F49" i="36"/>
  <c r="E49" i="36"/>
  <c r="D49" i="36"/>
  <c r="C49" i="36"/>
  <c r="B49" i="36"/>
  <c r="M48" i="36"/>
  <c r="L48" i="36"/>
  <c r="K48" i="36"/>
  <c r="J48" i="36"/>
  <c r="I48" i="36"/>
  <c r="H48" i="36"/>
  <c r="G48" i="36"/>
  <c r="F48" i="36"/>
  <c r="E48" i="36"/>
  <c r="D48" i="36"/>
  <c r="C48" i="36"/>
  <c r="B48" i="36"/>
  <c r="M46" i="36"/>
  <c r="L46" i="36"/>
  <c r="K46" i="36"/>
  <c r="J46" i="36"/>
  <c r="I46" i="36"/>
  <c r="H46" i="36"/>
  <c r="G46" i="36"/>
  <c r="F46" i="36"/>
  <c r="E46" i="36"/>
  <c r="D46" i="36"/>
  <c r="C46" i="36"/>
  <c r="B46" i="36"/>
  <c r="M45" i="36"/>
  <c r="L45" i="36"/>
  <c r="K45" i="36"/>
  <c r="J45" i="36"/>
  <c r="I45" i="36"/>
  <c r="H45" i="36"/>
  <c r="G45" i="36"/>
  <c r="F45" i="36"/>
  <c r="E45" i="36"/>
  <c r="D45" i="36"/>
  <c r="C45" i="36"/>
  <c r="B45" i="36"/>
  <c r="M44" i="36"/>
  <c r="L44" i="36"/>
  <c r="K44" i="36"/>
  <c r="J44" i="36"/>
  <c r="I44" i="36"/>
  <c r="H44" i="36"/>
  <c r="G44" i="36"/>
  <c r="F44" i="36"/>
  <c r="E44" i="36"/>
  <c r="D44" i="36"/>
  <c r="C44" i="36"/>
  <c r="B44" i="36"/>
  <c r="M43" i="36"/>
  <c r="L43" i="36"/>
  <c r="K43" i="36"/>
  <c r="J43" i="36"/>
  <c r="I43" i="36"/>
  <c r="H43" i="36"/>
  <c r="G43" i="36"/>
  <c r="F43" i="36"/>
  <c r="E43" i="36"/>
  <c r="D43" i="36"/>
  <c r="C43" i="36"/>
  <c r="B43" i="36"/>
  <c r="M42" i="36"/>
  <c r="L42" i="36"/>
  <c r="K42" i="36"/>
  <c r="J42" i="36"/>
  <c r="H42" i="36"/>
  <c r="G42" i="36"/>
  <c r="F42" i="36"/>
  <c r="E42" i="36"/>
  <c r="D42" i="36"/>
  <c r="C42" i="36"/>
  <c r="B42" i="36"/>
  <c r="M41" i="36"/>
  <c r="L41" i="36"/>
  <c r="K41" i="36"/>
  <c r="J41" i="36"/>
  <c r="I41" i="36"/>
  <c r="H41" i="36"/>
  <c r="G41" i="36"/>
  <c r="F41" i="36"/>
  <c r="E41" i="36"/>
  <c r="D41" i="36"/>
  <c r="C41" i="36"/>
  <c r="B41" i="36"/>
  <c r="M40" i="36"/>
  <c r="L40" i="36"/>
  <c r="K40" i="36"/>
  <c r="J40" i="36"/>
  <c r="I40" i="36"/>
  <c r="H40" i="36"/>
  <c r="G40" i="36"/>
  <c r="F40" i="36"/>
  <c r="E40" i="36"/>
  <c r="D40" i="36"/>
  <c r="C40" i="36"/>
  <c r="B40" i="36"/>
  <c r="M39" i="36"/>
  <c r="L39" i="36"/>
  <c r="K39" i="36"/>
  <c r="J39" i="36"/>
  <c r="I39" i="36"/>
  <c r="H39" i="36"/>
  <c r="G39" i="36"/>
  <c r="F39" i="36"/>
  <c r="E39" i="36"/>
  <c r="D39" i="36"/>
  <c r="C39" i="36"/>
  <c r="B39" i="36"/>
  <c r="M38" i="36"/>
  <c r="L38" i="36"/>
  <c r="K38" i="36"/>
  <c r="J38" i="36"/>
  <c r="I38" i="36"/>
  <c r="H38" i="36"/>
  <c r="G38" i="36"/>
  <c r="F38" i="36"/>
  <c r="E38" i="36"/>
  <c r="D38" i="36"/>
  <c r="C38" i="36"/>
  <c r="B38" i="36"/>
  <c r="B33" i="36"/>
  <c r="B32" i="36"/>
  <c r="B31" i="36"/>
  <c r="B30" i="36"/>
  <c r="B29" i="36"/>
  <c r="B28" i="36"/>
  <c r="B26" i="36"/>
  <c r="B25" i="36"/>
  <c r="B24" i="36"/>
  <c r="B23" i="36"/>
  <c r="B22" i="36"/>
  <c r="C8" i="28" l="1"/>
  <c r="B32" i="28"/>
  <c r="B31" i="28"/>
  <c r="B30" i="28"/>
  <c r="B29" i="28"/>
  <c r="B28" i="28"/>
  <c r="B26" i="28"/>
  <c r="B25" i="28"/>
  <c r="B24" i="28"/>
  <c r="B23" i="28"/>
  <c r="B22" i="28"/>
  <c r="H167" i="28"/>
  <c r="H166" i="28"/>
  <c r="H165" i="28"/>
  <c r="H164" i="28"/>
  <c r="H163" i="28"/>
  <c r="H162" i="28"/>
  <c r="H161" i="28"/>
  <c r="H160" i="28"/>
  <c r="H159" i="28"/>
  <c r="H157" i="28"/>
  <c r="G157" i="28"/>
  <c r="H156" i="28"/>
  <c r="G156" i="28"/>
  <c r="H155" i="28"/>
  <c r="G155" i="28"/>
  <c r="H154" i="28"/>
  <c r="G154" i="28"/>
  <c r="H153" i="28"/>
  <c r="G153" i="28"/>
  <c r="H152" i="28"/>
  <c r="G152" i="28"/>
  <c r="H151" i="28"/>
  <c r="G151" i="28"/>
  <c r="H150" i="28"/>
  <c r="G150" i="28"/>
  <c r="H149" i="28"/>
  <c r="G149" i="28"/>
  <c r="H147" i="28"/>
  <c r="G147" i="28"/>
  <c r="H146" i="28"/>
  <c r="G146" i="28"/>
  <c r="H145" i="28"/>
  <c r="G145" i="28"/>
  <c r="H144" i="28"/>
  <c r="G144" i="28"/>
  <c r="H143" i="28"/>
  <c r="G143" i="28"/>
  <c r="H142" i="28"/>
  <c r="G142" i="28"/>
  <c r="H141" i="28"/>
  <c r="G141" i="28"/>
  <c r="H140" i="28"/>
  <c r="G140" i="28"/>
  <c r="H139" i="28"/>
  <c r="G139" i="28"/>
  <c r="H137" i="28"/>
  <c r="G137" i="28"/>
  <c r="H136" i="28"/>
  <c r="G136" i="28"/>
  <c r="H135" i="28"/>
  <c r="G135" i="28"/>
  <c r="H134" i="28"/>
  <c r="G134" i="28"/>
  <c r="H133" i="28"/>
  <c r="G133" i="28"/>
  <c r="H132" i="28"/>
  <c r="G132" i="28"/>
  <c r="H131" i="28"/>
  <c r="G131" i="28"/>
  <c r="H130" i="28"/>
  <c r="G130" i="28"/>
  <c r="H129" i="28"/>
  <c r="G129" i="28"/>
  <c r="H127" i="28"/>
  <c r="G127" i="28"/>
  <c r="F127" i="28"/>
  <c r="E127" i="28"/>
  <c r="D127" i="28"/>
  <c r="C127" i="28"/>
  <c r="B127" i="28"/>
  <c r="A127" i="28"/>
  <c r="H126" i="28"/>
  <c r="G126" i="28"/>
  <c r="F126" i="28"/>
  <c r="E126" i="28"/>
  <c r="D126" i="28"/>
  <c r="C126" i="28"/>
  <c r="B126" i="28"/>
  <c r="A126" i="28"/>
  <c r="H125" i="28"/>
  <c r="G125" i="28"/>
  <c r="F125" i="28"/>
  <c r="E125" i="28"/>
  <c r="D125" i="28"/>
  <c r="C125" i="28"/>
  <c r="B125" i="28"/>
  <c r="A125" i="28"/>
  <c r="H124" i="28"/>
  <c r="G124" i="28"/>
  <c r="F124" i="28"/>
  <c r="E124" i="28"/>
  <c r="D124" i="28"/>
  <c r="C124" i="28"/>
  <c r="B124" i="28"/>
  <c r="A124" i="28"/>
  <c r="H123" i="28"/>
  <c r="G123" i="28"/>
  <c r="F123" i="28"/>
  <c r="E123" i="28"/>
  <c r="D123" i="28"/>
  <c r="C123" i="28"/>
  <c r="B123" i="28"/>
  <c r="A123" i="28"/>
  <c r="H122" i="28"/>
  <c r="G122" i="28"/>
  <c r="F122" i="28"/>
  <c r="E122" i="28"/>
  <c r="D122" i="28"/>
  <c r="C122" i="28"/>
  <c r="B122" i="28"/>
  <c r="A122" i="28"/>
  <c r="H121" i="28"/>
  <c r="G121" i="28"/>
  <c r="F121" i="28"/>
  <c r="E121" i="28"/>
  <c r="D121" i="28"/>
  <c r="C121" i="28"/>
  <c r="B121" i="28"/>
  <c r="A121" i="28"/>
  <c r="H120" i="28"/>
  <c r="G120" i="28"/>
  <c r="F120" i="28"/>
  <c r="E120" i="28"/>
  <c r="D120" i="28"/>
  <c r="C120" i="28"/>
  <c r="B120" i="28"/>
  <c r="A120" i="28"/>
  <c r="H119" i="28"/>
  <c r="G119" i="28"/>
  <c r="F119" i="28"/>
  <c r="E119" i="28"/>
  <c r="D119" i="28"/>
  <c r="C119" i="28"/>
  <c r="B119" i="28"/>
  <c r="A119" i="28"/>
  <c r="H117" i="28"/>
  <c r="G117" i="28"/>
  <c r="F117" i="28"/>
  <c r="E117" i="28"/>
  <c r="D117" i="28"/>
  <c r="C117" i="28"/>
  <c r="B117" i="28"/>
  <c r="A117" i="28"/>
  <c r="H116" i="28"/>
  <c r="G116" i="28"/>
  <c r="F116" i="28"/>
  <c r="E116" i="28"/>
  <c r="D116" i="28"/>
  <c r="C116" i="28"/>
  <c r="B116" i="28"/>
  <c r="A116" i="28"/>
  <c r="H115" i="28"/>
  <c r="G115" i="28"/>
  <c r="F115" i="28"/>
  <c r="E115" i="28"/>
  <c r="D115" i="28"/>
  <c r="C115" i="28"/>
  <c r="B115" i="28"/>
  <c r="A115" i="28"/>
  <c r="H114" i="28"/>
  <c r="G114" i="28"/>
  <c r="F114" i="28"/>
  <c r="E114" i="28"/>
  <c r="D114" i="28"/>
  <c r="C114" i="28"/>
  <c r="B114" i="28"/>
  <c r="A114" i="28"/>
  <c r="H113" i="28"/>
  <c r="G113" i="28"/>
  <c r="F113" i="28"/>
  <c r="E113" i="28"/>
  <c r="D113" i="28"/>
  <c r="C113" i="28"/>
  <c r="B113" i="28"/>
  <c r="A113" i="28"/>
  <c r="H112" i="28"/>
  <c r="G112" i="28"/>
  <c r="F112" i="28"/>
  <c r="E112" i="28"/>
  <c r="D112" i="28"/>
  <c r="C112" i="28"/>
  <c r="B112" i="28"/>
  <c r="A112" i="28"/>
  <c r="H111" i="28"/>
  <c r="G111" i="28"/>
  <c r="F111" i="28"/>
  <c r="E111" i="28"/>
  <c r="D111" i="28"/>
  <c r="C111" i="28"/>
  <c r="B111" i="28"/>
  <c r="A111" i="28"/>
  <c r="H110" i="28"/>
  <c r="G110" i="28"/>
  <c r="F110" i="28"/>
  <c r="E110" i="28"/>
  <c r="D110" i="28"/>
  <c r="C110" i="28"/>
  <c r="B110" i="28"/>
  <c r="A110" i="28"/>
  <c r="H109" i="28"/>
  <c r="G109" i="28"/>
  <c r="F109" i="28"/>
  <c r="E109" i="28"/>
  <c r="D109" i="28"/>
  <c r="C109" i="28"/>
  <c r="B109" i="28"/>
  <c r="A109" i="28"/>
  <c r="H107" i="28"/>
  <c r="G107" i="28"/>
  <c r="F107" i="28"/>
  <c r="E107" i="28"/>
  <c r="D107" i="28"/>
  <c r="C107" i="28"/>
  <c r="B107" i="28"/>
  <c r="A107" i="28"/>
  <c r="H106" i="28"/>
  <c r="G106" i="28"/>
  <c r="F106" i="28"/>
  <c r="E106" i="28"/>
  <c r="D106" i="28"/>
  <c r="C106" i="28"/>
  <c r="B106" i="28"/>
  <c r="A106" i="28"/>
  <c r="H105" i="28"/>
  <c r="G105" i="28"/>
  <c r="F105" i="28"/>
  <c r="E105" i="28"/>
  <c r="D105" i="28"/>
  <c r="C105" i="28"/>
  <c r="B105" i="28"/>
  <c r="A105" i="28"/>
  <c r="H104" i="28"/>
  <c r="G104" i="28"/>
  <c r="F104" i="28"/>
  <c r="E104" i="28"/>
  <c r="D104" i="28"/>
  <c r="C104" i="28"/>
  <c r="B104" i="28"/>
  <c r="A104" i="28"/>
  <c r="H103" i="28"/>
  <c r="G103" i="28"/>
  <c r="F103" i="28"/>
  <c r="E103" i="28"/>
  <c r="D103" i="28"/>
  <c r="C103" i="28"/>
  <c r="B103" i="28"/>
  <c r="A103" i="28"/>
  <c r="H102" i="28"/>
  <c r="G102" i="28"/>
  <c r="F102" i="28"/>
  <c r="E102" i="28"/>
  <c r="D102" i="28"/>
  <c r="C102" i="28"/>
  <c r="B102" i="28"/>
  <c r="A102" i="28"/>
  <c r="H101" i="28"/>
  <c r="G101" i="28"/>
  <c r="F101" i="28"/>
  <c r="E101" i="28"/>
  <c r="D101" i="28"/>
  <c r="C101" i="28"/>
  <c r="B101" i="28"/>
  <c r="A101" i="28"/>
  <c r="H100" i="28"/>
  <c r="G100" i="28"/>
  <c r="F100" i="28"/>
  <c r="E100" i="28"/>
  <c r="D100" i="28"/>
  <c r="C100" i="28"/>
  <c r="B100" i="28"/>
  <c r="A100" i="28"/>
  <c r="H99" i="28"/>
  <c r="G99" i="28"/>
  <c r="F99" i="28"/>
  <c r="E99" i="28"/>
  <c r="D99" i="28"/>
  <c r="C99" i="28"/>
  <c r="B99" i="28"/>
  <c r="A99" i="28"/>
  <c r="H97" i="28"/>
  <c r="G97" i="28"/>
  <c r="F97" i="28"/>
  <c r="E97" i="28"/>
  <c r="D97" i="28"/>
  <c r="C97" i="28"/>
  <c r="B97" i="28"/>
  <c r="A97" i="28"/>
  <c r="H96" i="28"/>
  <c r="G96" i="28"/>
  <c r="F96" i="28"/>
  <c r="E96" i="28"/>
  <c r="D96" i="28"/>
  <c r="C96" i="28"/>
  <c r="B96" i="28"/>
  <c r="A96" i="28"/>
  <c r="H95" i="28"/>
  <c r="G95" i="28"/>
  <c r="F95" i="28"/>
  <c r="E95" i="28"/>
  <c r="D95" i="28"/>
  <c r="C95" i="28"/>
  <c r="B95" i="28"/>
  <c r="A95" i="28"/>
  <c r="H94" i="28"/>
  <c r="G94" i="28"/>
  <c r="F94" i="28"/>
  <c r="E94" i="28"/>
  <c r="D94" i="28"/>
  <c r="C94" i="28"/>
  <c r="B94" i="28"/>
  <c r="A94" i="28"/>
  <c r="H93" i="28"/>
  <c r="G93" i="28"/>
  <c r="F93" i="28"/>
  <c r="E93" i="28"/>
  <c r="D93" i="28"/>
  <c r="C93" i="28"/>
  <c r="B93" i="28"/>
  <c r="A93" i="28"/>
  <c r="H92" i="28"/>
  <c r="G92" i="28"/>
  <c r="F92" i="28"/>
  <c r="E92" i="28"/>
  <c r="D92" i="28"/>
  <c r="C92" i="28"/>
  <c r="B92" i="28"/>
  <c r="A92" i="28"/>
  <c r="H91" i="28"/>
  <c r="G91" i="28"/>
  <c r="F91" i="28"/>
  <c r="E91" i="28"/>
  <c r="D91" i="28"/>
  <c r="C91" i="28"/>
  <c r="B91" i="28"/>
  <c r="A91" i="28"/>
  <c r="H90" i="28"/>
  <c r="G90" i="28"/>
  <c r="F90" i="28"/>
  <c r="E90" i="28"/>
  <c r="D90" i="28"/>
  <c r="C90" i="28"/>
  <c r="B90" i="28"/>
  <c r="A90" i="28"/>
  <c r="H89" i="28"/>
  <c r="G89" i="28"/>
  <c r="F89" i="28"/>
  <c r="E89" i="28"/>
  <c r="D89" i="28"/>
  <c r="C89" i="28"/>
  <c r="B89" i="28"/>
  <c r="A89" i="28"/>
  <c r="H87" i="28"/>
  <c r="G87" i="28"/>
  <c r="F87" i="28"/>
  <c r="E87" i="28"/>
  <c r="D87" i="28"/>
  <c r="C87" i="28"/>
  <c r="B87" i="28"/>
  <c r="A87" i="28"/>
  <c r="H86" i="28"/>
  <c r="G86" i="28"/>
  <c r="F86" i="28"/>
  <c r="E86" i="28"/>
  <c r="D86" i="28"/>
  <c r="C86" i="28"/>
  <c r="B86" i="28"/>
  <c r="A86" i="28"/>
  <c r="H85" i="28"/>
  <c r="G85" i="28"/>
  <c r="F85" i="28"/>
  <c r="E85" i="28"/>
  <c r="D85" i="28"/>
  <c r="C85" i="28"/>
  <c r="B85" i="28"/>
  <c r="A85" i="28"/>
  <c r="H84" i="28"/>
  <c r="G84" i="28"/>
  <c r="F84" i="28"/>
  <c r="E84" i="28"/>
  <c r="D84" i="28"/>
  <c r="C84" i="28"/>
  <c r="B84" i="28"/>
  <c r="A84" i="28"/>
  <c r="H83" i="28"/>
  <c r="G83" i="28"/>
  <c r="F83" i="28"/>
  <c r="E83" i="28"/>
  <c r="D83" i="28"/>
  <c r="C83" i="28"/>
  <c r="B83" i="28"/>
  <c r="A83" i="28"/>
  <c r="H82" i="28"/>
  <c r="G82" i="28"/>
  <c r="F82" i="28"/>
  <c r="E82" i="28"/>
  <c r="D82" i="28"/>
  <c r="C82" i="28"/>
  <c r="B82" i="28"/>
  <c r="A82" i="28"/>
  <c r="H81" i="28"/>
  <c r="G81" i="28"/>
  <c r="F81" i="28"/>
  <c r="E81" i="28"/>
  <c r="D81" i="28"/>
  <c r="C81" i="28"/>
  <c r="B81" i="28"/>
  <c r="A81" i="28"/>
  <c r="H80" i="28"/>
  <c r="G80" i="28"/>
  <c r="F80" i="28"/>
  <c r="E80" i="28"/>
  <c r="D80" i="28"/>
  <c r="C80" i="28"/>
  <c r="B80" i="28"/>
  <c r="A80" i="28"/>
  <c r="H79" i="28"/>
  <c r="G79" i="28"/>
  <c r="F79" i="28"/>
  <c r="E79" i="28"/>
  <c r="D79" i="28"/>
  <c r="C79" i="28"/>
  <c r="B79" i="28"/>
  <c r="A79" i="28"/>
  <c r="H77" i="28"/>
  <c r="G77" i="28"/>
  <c r="F77" i="28"/>
  <c r="E77" i="28"/>
  <c r="D77" i="28"/>
  <c r="C77" i="28"/>
  <c r="B77" i="28"/>
  <c r="A77" i="28"/>
  <c r="H76" i="28"/>
  <c r="G76" i="28"/>
  <c r="F76" i="28"/>
  <c r="E76" i="28"/>
  <c r="D76" i="28"/>
  <c r="C76" i="28"/>
  <c r="B76" i="28"/>
  <c r="A76" i="28"/>
  <c r="H75" i="28"/>
  <c r="G75" i="28"/>
  <c r="F75" i="28"/>
  <c r="E75" i="28"/>
  <c r="D75" i="28"/>
  <c r="C75" i="28"/>
  <c r="B75" i="28"/>
  <c r="A75" i="28"/>
  <c r="H74" i="28"/>
  <c r="G74" i="28"/>
  <c r="F74" i="28"/>
  <c r="E74" i="28"/>
  <c r="D74" i="28"/>
  <c r="C74" i="28"/>
  <c r="B74" i="28"/>
  <c r="A74" i="28"/>
  <c r="H73" i="28"/>
  <c r="G73" i="28"/>
  <c r="F73" i="28"/>
  <c r="E73" i="28"/>
  <c r="D73" i="28"/>
  <c r="C73" i="28"/>
  <c r="B73" i="28"/>
  <c r="A73" i="28"/>
  <c r="H72" i="28"/>
  <c r="G72" i="28"/>
  <c r="F72" i="28"/>
  <c r="E72" i="28"/>
  <c r="D72" i="28"/>
  <c r="C72" i="28"/>
  <c r="B72" i="28"/>
  <c r="A72" i="28"/>
  <c r="H71" i="28"/>
  <c r="G71" i="28"/>
  <c r="F71" i="28"/>
  <c r="E71" i="28"/>
  <c r="D71" i="28"/>
  <c r="C71" i="28"/>
  <c r="B71" i="28"/>
  <c r="A71" i="28"/>
  <c r="H70" i="28"/>
  <c r="G70" i="28"/>
  <c r="F70" i="28"/>
  <c r="E70" i="28"/>
  <c r="D70" i="28"/>
  <c r="C70" i="28"/>
  <c r="B70" i="28"/>
  <c r="A70" i="28"/>
  <c r="H69" i="28"/>
  <c r="G69" i="28"/>
  <c r="F69" i="28"/>
  <c r="E69" i="28"/>
  <c r="D69" i="28"/>
  <c r="C69" i="28"/>
  <c r="B69" i="28"/>
  <c r="A69" i="28"/>
  <c r="H67" i="28"/>
  <c r="G67" i="28"/>
  <c r="F67" i="28"/>
  <c r="E67" i="28"/>
  <c r="D67" i="28"/>
  <c r="C67" i="28"/>
  <c r="B67" i="28"/>
  <c r="A67" i="28"/>
  <c r="H66" i="28"/>
  <c r="G66" i="28"/>
  <c r="F66" i="28"/>
  <c r="E66" i="28"/>
  <c r="D66" i="28"/>
  <c r="C66" i="28"/>
  <c r="B66" i="28"/>
  <c r="A66" i="28"/>
  <c r="H65" i="28"/>
  <c r="G65" i="28"/>
  <c r="F65" i="28"/>
  <c r="E65" i="28"/>
  <c r="D65" i="28"/>
  <c r="C65" i="28"/>
  <c r="B65" i="28"/>
  <c r="A65" i="28"/>
  <c r="H64" i="28"/>
  <c r="G64" i="28"/>
  <c r="F64" i="28"/>
  <c r="E64" i="28"/>
  <c r="D64" i="28"/>
  <c r="C64" i="28"/>
  <c r="B64" i="28"/>
  <c r="A64" i="28"/>
  <c r="H63" i="28"/>
  <c r="G63" i="28"/>
  <c r="F63" i="28"/>
  <c r="E63" i="28"/>
  <c r="D63" i="28"/>
  <c r="C63" i="28"/>
  <c r="B63" i="28"/>
  <c r="A63" i="28"/>
  <c r="H62" i="28"/>
  <c r="G62" i="28"/>
  <c r="F62" i="28"/>
  <c r="E62" i="28"/>
  <c r="D62" i="28"/>
  <c r="C62" i="28"/>
  <c r="B62" i="28"/>
  <c r="A62" i="28"/>
  <c r="H61" i="28"/>
  <c r="G61" i="28"/>
  <c r="F61" i="28"/>
  <c r="E61" i="28"/>
  <c r="D61" i="28"/>
  <c r="C61" i="28"/>
  <c r="B61" i="28"/>
  <c r="A61" i="28"/>
  <c r="H60" i="28"/>
  <c r="G60" i="28"/>
  <c r="F60" i="28"/>
  <c r="E60" i="28"/>
  <c r="D60" i="28"/>
  <c r="C60" i="28"/>
  <c r="B60" i="28"/>
  <c r="A60" i="28"/>
  <c r="H59" i="28"/>
  <c r="G59" i="28"/>
  <c r="F59" i="28"/>
  <c r="E59" i="28"/>
  <c r="D59" i="28"/>
  <c r="C59" i="28"/>
  <c r="B59" i="28"/>
  <c r="A59" i="28"/>
  <c r="H57" i="28"/>
  <c r="G57" i="28"/>
  <c r="F57" i="28"/>
  <c r="E57" i="28"/>
  <c r="D57" i="28"/>
  <c r="C57" i="28"/>
  <c r="B57" i="28"/>
  <c r="A57" i="28"/>
  <c r="H56" i="28"/>
  <c r="G56" i="28"/>
  <c r="F56" i="28"/>
  <c r="E56" i="28"/>
  <c r="D56" i="28"/>
  <c r="C56" i="28"/>
  <c r="B56" i="28"/>
  <c r="A56" i="28"/>
  <c r="H55" i="28"/>
  <c r="G55" i="28"/>
  <c r="F55" i="28"/>
  <c r="E55" i="28"/>
  <c r="D55" i="28"/>
  <c r="C55" i="28"/>
  <c r="B55" i="28"/>
  <c r="A55" i="28"/>
  <c r="H54" i="28"/>
  <c r="G54" i="28"/>
  <c r="F54" i="28"/>
  <c r="E54" i="28"/>
  <c r="D54" i="28"/>
  <c r="C54" i="28"/>
  <c r="B54" i="28"/>
  <c r="A54" i="28"/>
  <c r="H53" i="28"/>
  <c r="G53" i="28"/>
  <c r="F53" i="28"/>
  <c r="E53" i="28"/>
  <c r="D53" i="28"/>
  <c r="C53" i="28"/>
  <c r="B53" i="28"/>
  <c r="A53" i="28"/>
  <c r="H52" i="28"/>
  <c r="G52" i="28"/>
  <c r="F52" i="28"/>
  <c r="E52" i="28"/>
  <c r="D52" i="28"/>
  <c r="C52" i="28"/>
  <c r="B52" i="28"/>
  <c r="A52" i="28"/>
  <c r="H51" i="28"/>
  <c r="G51" i="28"/>
  <c r="F51" i="28"/>
  <c r="E51" i="28"/>
  <c r="D51" i="28"/>
  <c r="C51" i="28"/>
  <c r="B51" i="28"/>
  <c r="A51" i="28"/>
  <c r="H50" i="28"/>
  <c r="G50" i="28"/>
  <c r="F50" i="28"/>
  <c r="E50" i="28"/>
  <c r="D50" i="28"/>
  <c r="C50" i="28"/>
  <c r="B50" i="28"/>
  <c r="A50" i="28"/>
  <c r="H49" i="28"/>
  <c r="G49" i="28"/>
  <c r="F49" i="28"/>
  <c r="E49" i="28"/>
  <c r="D49" i="28"/>
  <c r="C49" i="28"/>
  <c r="B49" i="28"/>
  <c r="A49" i="28"/>
  <c r="H47" i="28"/>
  <c r="G47" i="28"/>
  <c r="F47" i="28"/>
  <c r="E47" i="28"/>
  <c r="D47" i="28"/>
  <c r="C47" i="28"/>
  <c r="B47" i="28"/>
  <c r="A47" i="28"/>
  <c r="H46" i="28"/>
  <c r="G46" i="28"/>
  <c r="F46" i="28"/>
  <c r="E46" i="28"/>
  <c r="D46" i="28"/>
  <c r="C46" i="28"/>
  <c r="B46" i="28"/>
  <c r="A46" i="28"/>
  <c r="H45" i="28"/>
  <c r="G45" i="28"/>
  <c r="F45" i="28"/>
  <c r="E45" i="28"/>
  <c r="D45" i="28"/>
  <c r="C45" i="28"/>
  <c r="B45" i="28"/>
  <c r="A45" i="28"/>
  <c r="H44" i="28"/>
  <c r="G44" i="28"/>
  <c r="F44" i="28"/>
  <c r="E44" i="28"/>
  <c r="D44" i="28"/>
  <c r="C44" i="28"/>
  <c r="B44" i="28"/>
  <c r="A44" i="28"/>
  <c r="G43" i="28"/>
  <c r="F43" i="28"/>
  <c r="E43" i="28"/>
  <c r="D43" i="28"/>
  <c r="C43" i="28"/>
  <c r="B43" i="28"/>
  <c r="A43" i="28"/>
  <c r="H42" i="28"/>
  <c r="G42" i="28"/>
  <c r="F42" i="28"/>
  <c r="E42" i="28"/>
  <c r="D42" i="28"/>
  <c r="C42" i="28"/>
  <c r="B42" i="28"/>
  <c r="A42" i="28"/>
  <c r="H41" i="28"/>
  <c r="G41" i="28"/>
  <c r="F41" i="28"/>
  <c r="E41" i="28"/>
  <c r="D41" i="28"/>
  <c r="C41" i="28"/>
  <c r="B41" i="28"/>
  <c r="A41" i="28"/>
  <c r="H40" i="28"/>
  <c r="G40" i="28"/>
  <c r="F40" i="28"/>
  <c r="E40" i="28"/>
  <c r="D40" i="28"/>
  <c r="C40" i="28"/>
  <c r="B40" i="28"/>
  <c r="A40" i="28"/>
  <c r="H39" i="28"/>
  <c r="G39" i="28"/>
  <c r="F39" i="28"/>
  <c r="E39" i="28"/>
  <c r="D39" i="28"/>
  <c r="C39" i="28"/>
  <c r="B39" i="28"/>
  <c r="A39" i="28"/>
  <c r="D25" i="28" l="1"/>
  <c r="D27" i="28"/>
  <c r="D29" i="28"/>
  <c r="L35" i="19" l="1" a="1"/>
  <c r="L35" i="19" s="1"/>
  <c r="K35" i="19" a="1"/>
  <c r="K35" i="19" s="1"/>
  <c r="J35" i="19" a="1"/>
  <c r="J35" i="19" s="1"/>
  <c r="J34" i="19" a="1"/>
  <c r="J34" i="19" s="1"/>
  <c r="L34" i="19" a="1"/>
  <c r="L34" i="19" s="1"/>
  <c r="K34" i="19" a="1"/>
  <c r="K34" i="19" s="1"/>
  <c r="E34" i="19"/>
  <c r="D22" i="32"/>
  <c r="E10" i="19" l="1"/>
  <c r="G10" i="19"/>
  <c r="I10" i="19"/>
  <c r="D19" i="19"/>
  <c r="E19" i="19"/>
  <c r="C34" i="31"/>
  <c r="C33" i="31"/>
  <c r="C30" i="31"/>
  <c r="C29" i="31"/>
  <c r="C28" i="31"/>
  <c r="C26" i="31"/>
  <c r="C25" i="31"/>
  <c r="C18" i="31"/>
  <c r="C17" i="31"/>
  <c r="C22" i="31"/>
  <c r="C21" i="31"/>
  <c r="M76" i="32"/>
  <c r="L76" i="32"/>
  <c r="M75" i="32"/>
  <c r="L75" i="32"/>
  <c r="M74" i="32"/>
  <c r="L74" i="32"/>
  <c r="M73" i="32"/>
  <c r="L73" i="32"/>
  <c r="M71" i="32"/>
  <c r="L71" i="32"/>
  <c r="K71" i="32"/>
  <c r="J71" i="32"/>
  <c r="I71" i="32"/>
  <c r="H71" i="32"/>
  <c r="G71" i="32"/>
  <c r="F71" i="32"/>
  <c r="E71" i="32"/>
  <c r="D71" i="32"/>
  <c r="M70" i="32"/>
  <c r="L70" i="32"/>
  <c r="K70" i="32"/>
  <c r="J70" i="32"/>
  <c r="I70" i="32"/>
  <c r="H70" i="32"/>
  <c r="G70" i="32"/>
  <c r="F70" i="32"/>
  <c r="E70" i="32"/>
  <c r="D70" i="32"/>
  <c r="M69" i="32"/>
  <c r="L69" i="32"/>
  <c r="K69" i="32"/>
  <c r="J69" i="32"/>
  <c r="I69" i="32"/>
  <c r="H69" i="32"/>
  <c r="G69" i="32"/>
  <c r="F69" i="32"/>
  <c r="E69" i="32"/>
  <c r="D69" i="32"/>
  <c r="M68" i="32"/>
  <c r="L68" i="32"/>
  <c r="K68" i="32"/>
  <c r="J68" i="32"/>
  <c r="I68" i="32"/>
  <c r="H68" i="32"/>
  <c r="G68" i="32"/>
  <c r="F68" i="32"/>
  <c r="E68" i="32"/>
  <c r="D68" i="32"/>
  <c r="M66" i="32"/>
  <c r="L66" i="32"/>
  <c r="K66" i="32"/>
  <c r="J66" i="32"/>
  <c r="I66" i="32"/>
  <c r="H66" i="32"/>
  <c r="G66" i="32"/>
  <c r="F66" i="32"/>
  <c r="E66" i="32"/>
  <c r="D66" i="32"/>
  <c r="M65" i="32"/>
  <c r="L65" i="32"/>
  <c r="K65" i="32"/>
  <c r="J65" i="32"/>
  <c r="I65" i="32"/>
  <c r="H65" i="32"/>
  <c r="G65" i="32"/>
  <c r="F65" i="32"/>
  <c r="E65" i="32"/>
  <c r="D65" i="32"/>
  <c r="M64" i="32"/>
  <c r="L64" i="32"/>
  <c r="K64" i="32"/>
  <c r="J64" i="32"/>
  <c r="I64" i="32"/>
  <c r="H64" i="32"/>
  <c r="G64" i="32"/>
  <c r="F64" i="32"/>
  <c r="E64" i="32"/>
  <c r="D64" i="32"/>
  <c r="M63" i="32"/>
  <c r="L63" i="32"/>
  <c r="K63" i="32"/>
  <c r="J63" i="32"/>
  <c r="I63" i="32"/>
  <c r="H63" i="32"/>
  <c r="G63" i="32"/>
  <c r="F63" i="32"/>
  <c r="E63" i="32"/>
  <c r="D63" i="32"/>
  <c r="M61" i="32"/>
  <c r="L61" i="32"/>
  <c r="K61" i="32"/>
  <c r="J61" i="32"/>
  <c r="I61" i="32"/>
  <c r="H61" i="32"/>
  <c r="G61" i="32"/>
  <c r="F61" i="32"/>
  <c r="E61" i="32"/>
  <c r="D61" i="32"/>
  <c r="M60" i="32"/>
  <c r="L60" i="32"/>
  <c r="K60" i="32"/>
  <c r="J60" i="32"/>
  <c r="I60" i="32"/>
  <c r="H60" i="32"/>
  <c r="G60" i="32"/>
  <c r="F60" i="32"/>
  <c r="E60" i="32"/>
  <c r="D60" i="32"/>
  <c r="M59" i="32"/>
  <c r="L59" i="32"/>
  <c r="K59" i="32"/>
  <c r="J59" i="32"/>
  <c r="I59" i="32"/>
  <c r="H59" i="32"/>
  <c r="G59" i="32"/>
  <c r="F59" i="32"/>
  <c r="E59" i="32"/>
  <c r="D59" i="32"/>
  <c r="M58" i="32"/>
  <c r="L58" i="32"/>
  <c r="K58" i="32"/>
  <c r="J58" i="32"/>
  <c r="I58" i="32"/>
  <c r="H58" i="32"/>
  <c r="G58" i="32"/>
  <c r="F58" i="32"/>
  <c r="E58" i="32"/>
  <c r="D58" i="32"/>
  <c r="M56" i="32"/>
  <c r="L56" i="32"/>
  <c r="K56" i="32"/>
  <c r="J56" i="32"/>
  <c r="I56" i="32"/>
  <c r="H56" i="32"/>
  <c r="G56" i="32"/>
  <c r="F56" i="32"/>
  <c r="E56" i="32"/>
  <c r="D56" i="32"/>
  <c r="M55" i="32"/>
  <c r="L55" i="32"/>
  <c r="K55" i="32"/>
  <c r="J55" i="32"/>
  <c r="I55" i="32"/>
  <c r="H55" i="32"/>
  <c r="G55" i="32"/>
  <c r="F55" i="32"/>
  <c r="E55" i="32"/>
  <c r="D55" i="32"/>
  <c r="M54" i="32"/>
  <c r="L54" i="32"/>
  <c r="K54" i="32"/>
  <c r="J54" i="32"/>
  <c r="I54" i="32"/>
  <c r="H54" i="32"/>
  <c r="G54" i="32"/>
  <c r="F54" i="32"/>
  <c r="E54" i="32"/>
  <c r="D54" i="32"/>
  <c r="M53" i="32"/>
  <c r="L53" i="32"/>
  <c r="K53" i="32"/>
  <c r="J53" i="32"/>
  <c r="I53" i="32"/>
  <c r="H53" i="32"/>
  <c r="G53" i="32"/>
  <c r="F53" i="32"/>
  <c r="E53" i="32"/>
  <c r="D53" i="32"/>
  <c r="M51" i="32"/>
  <c r="L51" i="32"/>
  <c r="K51" i="32"/>
  <c r="J51" i="32"/>
  <c r="I51" i="32"/>
  <c r="H51" i="32"/>
  <c r="G51" i="32"/>
  <c r="F51" i="32"/>
  <c r="E51" i="32"/>
  <c r="D51" i="32"/>
  <c r="M50" i="32"/>
  <c r="L50" i="32"/>
  <c r="K50" i="32"/>
  <c r="J50" i="32"/>
  <c r="I50" i="32"/>
  <c r="H50" i="32"/>
  <c r="G50" i="32"/>
  <c r="F50" i="32"/>
  <c r="E50" i="32"/>
  <c r="D50" i="32"/>
  <c r="M49" i="32"/>
  <c r="L49" i="32"/>
  <c r="K49" i="32"/>
  <c r="J49" i="32"/>
  <c r="I49" i="32"/>
  <c r="H49" i="32"/>
  <c r="G49" i="32"/>
  <c r="F49" i="32"/>
  <c r="E49" i="32"/>
  <c r="D49" i="32"/>
  <c r="M48" i="32"/>
  <c r="L48" i="32"/>
  <c r="K48" i="32"/>
  <c r="J48" i="32"/>
  <c r="I48" i="32"/>
  <c r="H48" i="32"/>
  <c r="G48" i="32"/>
  <c r="F48" i="32"/>
  <c r="E48" i="32"/>
  <c r="D48" i="32"/>
  <c r="M46" i="32"/>
  <c r="L46" i="32"/>
  <c r="K46" i="32"/>
  <c r="J46" i="32"/>
  <c r="I46" i="32"/>
  <c r="H46" i="32"/>
  <c r="G46" i="32"/>
  <c r="F46" i="32"/>
  <c r="E46" i="32"/>
  <c r="D46" i="32"/>
  <c r="M45" i="32"/>
  <c r="L45" i="32"/>
  <c r="K45" i="32"/>
  <c r="J45" i="32"/>
  <c r="I45" i="32"/>
  <c r="H45" i="32"/>
  <c r="G45" i="32"/>
  <c r="F45" i="32"/>
  <c r="E45" i="32"/>
  <c r="D45" i="32"/>
  <c r="M44" i="32"/>
  <c r="L44" i="32"/>
  <c r="K44" i="32"/>
  <c r="J44" i="32"/>
  <c r="I44" i="32"/>
  <c r="H44" i="32"/>
  <c r="G44" i="32"/>
  <c r="F44" i="32"/>
  <c r="E44" i="32"/>
  <c r="D44" i="32"/>
  <c r="M43" i="32"/>
  <c r="L43" i="32"/>
  <c r="K43" i="32"/>
  <c r="J43" i="32"/>
  <c r="I43" i="32"/>
  <c r="H43" i="32"/>
  <c r="G43" i="32"/>
  <c r="F43" i="32"/>
  <c r="E43" i="32"/>
  <c r="D43" i="32"/>
  <c r="M41" i="32"/>
  <c r="L41" i="32"/>
  <c r="K41" i="32"/>
  <c r="J41" i="32"/>
  <c r="I41" i="32"/>
  <c r="H41" i="32"/>
  <c r="G41" i="32"/>
  <c r="F41" i="32"/>
  <c r="E41" i="32"/>
  <c r="D41" i="32"/>
  <c r="M40" i="32"/>
  <c r="L40" i="32"/>
  <c r="K40" i="32"/>
  <c r="J40" i="32"/>
  <c r="I40" i="32"/>
  <c r="H40" i="32"/>
  <c r="G40" i="32"/>
  <c r="F40" i="32"/>
  <c r="E40" i="32"/>
  <c r="D40" i="32"/>
  <c r="M39" i="32"/>
  <c r="L39" i="32"/>
  <c r="K39" i="32"/>
  <c r="J39" i="32"/>
  <c r="I39" i="32"/>
  <c r="H39" i="32"/>
  <c r="G39" i="32"/>
  <c r="F39" i="32"/>
  <c r="E39" i="32"/>
  <c r="D39" i="32"/>
  <c r="M38" i="32"/>
  <c r="L38" i="32"/>
  <c r="K38" i="32"/>
  <c r="J38" i="32"/>
  <c r="I38" i="32"/>
  <c r="H38" i="32"/>
  <c r="G38" i="32"/>
  <c r="F38" i="32"/>
  <c r="E38" i="32"/>
  <c r="D38" i="32"/>
  <c r="M36" i="32"/>
  <c r="L36" i="32"/>
  <c r="K36" i="32"/>
  <c r="J36" i="32"/>
  <c r="I36" i="32"/>
  <c r="H36" i="32"/>
  <c r="G36" i="32"/>
  <c r="F36" i="32"/>
  <c r="E36" i="32"/>
  <c r="D36" i="32"/>
  <c r="M35" i="32"/>
  <c r="L35" i="32"/>
  <c r="K35" i="32"/>
  <c r="J35" i="32"/>
  <c r="I35" i="32"/>
  <c r="H35" i="32"/>
  <c r="G35" i="32"/>
  <c r="F35" i="32"/>
  <c r="E35" i="32"/>
  <c r="D35" i="32"/>
  <c r="M34" i="32"/>
  <c r="L34" i="32"/>
  <c r="K34" i="32"/>
  <c r="J34" i="32"/>
  <c r="I34" i="32"/>
  <c r="H34" i="32"/>
  <c r="G34" i="32"/>
  <c r="F34" i="32"/>
  <c r="E34" i="32"/>
  <c r="D34" i="32"/>
  <c r="M33" i="32"/>
  <c r="L33" i="32"/>
  <c r="K33" i="32"/>
  <c r="J33" i="32"/>
  <c r="I33" i="32"/>
  <c r="H33" i="32"/>
  <c r="G33" i="32"/>
  <c r="F33" i="32"/>
  <c r="E33" i="32"/>
  <c r="D33" i="32"/>
  <c r="D27" i="32"/>
  <c r="D26" i="32"/>
  <c r="D25" i="32"/>
  <c r="D24" i="32"/>
  <c r="D23" i="32"/>
  <c r="C16" i="31"/>
  <c r="C19" i="31"/>
  <c r="C20" i="31"/>
  <c r="C23" i="31"/>
  <c r="C24" i="31"/>
  <c r="C27" i="31"/>
  <c r="C31" i="31"/>
  <c r="C32" i="31"/>
  <c r="C35" i="31"/>
  <c r="C36" i="31"/>
  <c r="C37" i="31"/>
  <c r="C38" i="31"/>
  <c r="C39" i="31"/>
  <c r="C40" i="31"/>
  <c r="C41" i="31"/>
  <c r="C42" i="31"/>
  <c r="D30" i="30"/>
  <c r="D29" i="30"/>
  <c r="D28" i="30"/>
  <c r="D27" i="30"/>
  <c r="D26" i="30"/>
  <c r="D24" i="30"/>
  <c r="D23" i="30"/>
  <c r="D21" i="30"/>
  <c r="D20" i="30"/>
  <c r="D19" i="30"/>
  <c r="D18" i="30"/>
  <c r="D17" i="30"/>
  <c r="D16" i="30"/>
  <c r="L227" i="28" l="1"/>
  <c r="K227" i="28"/>
  <c r="J227" i="28"/>
  <c r="I227" i="28"/>
  <c r="L226" i="28"/>
  <c r="K226" i="28"/>
  <c r="J226" i="28"/>
  <c r="I226" i="28"/>
  <c r="L225" i="28"/>
  <c r="K225" i="28"/>
  <c r="J225" i="28"/>
  <c r="I225" i="28"/>
  <c r="L224" i="28"/>
  <c r="K224" i="28"/>
  <c r="J224" i="28"/>
  <c r="I224" i="28"/>
  <c r="L223" i="28"/>
  <c r="K223" i="28"/>
  <c r="J223" i="28"/>
  <c r="I223" i="28"/>
  <c r="L222" i="28"/>
  <c r="K222" i="28"/>
  <c r="J222" i="28"/>
  <c r="I222" i="28"/>
  <c r="L221" i="28"/>
  <c r="K221" i="28"/>
  <c r="J221" i="28"/>
  <c r="I221" i="28"/>
  <c r="L220" i="28"/>
  <c r="K220" i="28"/>
  <c r="J220" i="28"/>
  <c r="I220" i="28"/>
  <c r="L219" i="28"/>
  <c r="K219" i="28"/>
  <c r="J219" i="28"/>
  <c r="I219" i="28"/>
  <c r="L217" i="28"/>
  <c r="K217" i="28"/>
  <c r="J217" i="28"/>
  <c r="I217" i="28"/>
  <c r="L216" i="28"/>
  <c r="K216" i="28"/>
  <c r="J216" i="28"/>
  <c r="I216" i="28"/>
  <c r="L215" i="28"/>
  <c r="K215" i="28"/>
  <c r="J215" i="28"/>
  <c r="I215" i="28"/>
  <c r="L214" i="28"/>
  <c r="K214" i="28"/>
  <c r="J214" i="28"/>
  <c r="I214" i="28"/>
  <c r="L213" i="28"/>
  <c r="K213" i="28"/>
  <c r="J213" i="28"/>
  <c r="I213" i="28"/>
  <c r="L212" i="28"/>
  <c r="K212" i="28"/>
  <c r="J212" i="28"/>
  <c r="I212" i="28"/>
  <c r="L211" i="28"/>
  <c r="K211" i="28"/>
  <c r="J211" i="28"/>
  <c r="I211" i="28"/>
  <c r="L210" i="28"/>
  <c r="K210" i="28"/>
  <c r="J210" i="28"/>
  <c r="I210" i="28"/>
  <c r="L209" i="28"/>
  <c r="K209" i="28"/>
  <c r="J209" i="28"/>
  <c r="I209" i="28"/>
  <c r="L207" i="28"/>
  <c r="K207" i="28"/>
  <c r="J207" i="28"/>
  <c r="I207" i="28"/>
  <c r="L206" i="28"/>
  <c r="K206" i="28"/>
  <c r="J206" i="28"/>
  <c r="I206" i="28"/>
  <c r="L205" i="28"/>
  <c r="K205" i="28"/>
  <c r="J205" i="28"/>
  <c r="I205" i="28"/>
  <c r="L204" i="28"/>
  <c r="K204" i="28"/>
  <c r="J204" i="28"/>
  <c r="I204" i="28"/>
  <c r="L203" i="28"/>
  <c r="K203" i="28"/>
  <c r="J203" i="28"/>
  <c r="I203" i="28"/>
  <c r="L202" i="28"/>
  <c r="K202" i="28"/>
  <c r="J202" i="28"/>
  <c r="I202" i="28"/>
  <c r="L201" i="28"/>
  <c r="K201" i="28"/>
  <c r="J201" i="28"/>
  <c r="I201" i="28"/>
  <c r="L200" i="28"/>
  <c r="K200" i="28"/>
  <c r="J200" i="28"/>
  <c r="I200" i="28"/>
  <c r="L199" i="28"/>
  <c r="K199" i="28"/>
  <c r="J199" i="28"/>
  <c r="I199" i="28"/>
  <c r="L197" i="28"/>
  <c r="K197" i="28"/>
  <c r="J197" i="28"/>
  <c r="I197" i="28"/>
  <c r="L196" i="28"/>
  <c r="K196" i="28"/>
  <c r="J196" i="28"/>
  <c r="I196" i="28"/>
  <c r="L195" i="28"/>
  <c r="K195" i="28"/>
  <c r="J195" i="28"/>
  <c r="I195" i="28"/>
  <c r="L194" i="28"/>
  <c r="K194" i="28"/>
  <c r="J194" i="28"/>
  <c r="I194" i="28"/>
  <c r="L193" i="28"/>
  <c r="K193" i="28"/>
  <c r="J193" i="28"/>
  <c r="I193" i="28"/>
  <c r="L192" i="28"/>
  <c r="K192" i="28"/>
  <c r="J192" i="28"/>
  <c r="I192" i="28"/>
  <c r="L191" i="28"/>
  <c r="K191" i="28"/>
  <c r="J191" i="28"/>
  <c r="I191" i="28"/>
  <c r="L190" i="28"/>
  <c r="K190" i="28"/>
  <c r="J190" i="28"/>
  <c r="I190" i="28"/>
  <c r="L189" i="28"/>
  <c r="K189" i="28"/>
  <c r="J189" i="28"/>
  <c r="I189" i="28"/>
  <c r="L187" i="28"/>
  <c r="K187" i="28"/>
  <c r="J187" i="28"/>
  <c r="I187" i="28"/>
  <c r="L186" i="28"/>
  <c r="K186" i="28"/>
  <c r="J186" i="28"/>
  <c r="I186" i="28"/>
  <c r="L185" i="28"/>
  <c r="K185" i="28"/>
  <c r="J185" i="28"/>
  <c r="I185" i="28"/>
  <c r="L184" i="28"/>
  <c r="K184" i="28"/>
  <c r="J184" i="28"/>
  <c r="I184" i="28"/>
  <c r="L183" i="28"/>
  <c r="K183" i="28"/>
  <c r="J183" i="28"/>
  <c r="I183" i="28"/>
  <c r="L182" i="28"/>
  <c r="K182" i="28"/>
  <c r="J182" i="28"/>
  <c r="I182" i="28"/>
  <c r="L181" i="28"/>
  <c r="K181" i="28"/>
  <c r="J181" i="28"/>
  <c r="I181" i="28"/>
  <c r="L180" i="28"/>
  <c r="K180" i="28"/>
  <c r="J180" i="28"/>
  <c r="I180" i="28"/>
  <c r="L179" i="28"/>
  <c r="K179" i="28"/>
  <c r="J179" i="28"/>
  <c r="I179" i="28"/>
  <c r="L177" i="28"/>
  <c r="K177" i="28"/>
  <c r="J177" i="28"/>
  <c r="I177" i="28"/>
  <c r="L176" i="28"/>
  <c r="K176" i="28"/>
  <c r="J176" i="28"/>
  <c r="I176" i="28"/>
  <c r="L175" i="28"/>
  <c r="K175" i="28"/>
  <c r="J175" i="28"/>
  <c r="I175" i="28"/>
  <c r="L174" i="28"/>
  <c r="K174" i="28"/>
  <c r="J174" i="28"/>
  <c r="I174" i="28"/>
  <c r="L173" i="28"/>
  <c r="K173" i="28"/>
  <c r="J173" i="28"/>
  <c r="I173" i="28"/>
  <c r="L172" i="28"/>
  <c r="K172" i="28"/>
  <c r="J172" i="28"/>
  <c r="I172" i="28"/>
  <c r="L171" i="28"/>
  <c r="K171" i="28"/>
  <c r="J171" i="28"/>
  <c r="I171" i="28"/>
  <c r="L170" i="28"/>
  <c r="K170" i="28"/>
  <c r="J170" i="28"/>
  <c r="I170" i="28"/>
  <c r="L169" i="28"/>
  <c r="K169" i="28"/>
  <c r="J169" i="28"/>
  <c r="I169" i="28"/>
  <c r="L167" i="28"/>
  <c r="K167" i="28"/>
  <c r="J167" i="28"/>
  <c r="I167" i="28"/>
  <c r="L166" i="28"/>
  <c r="K166" i="28"/>
  <c r="J166" i="28"/>
  <c r="I166" i="28"/>
  <c r="L165" i="28"/>
  <c r="K165" i="28"/>
  <c r="J165" i="28"/>
  <c r="I165" i="28"/>
  <c r="L164" i="28"/>
  <c r="K164" i="28"/>
  <c r="J164" i="28"/>
  <c r="I164" i="28"/>
  <c r="L163" i="28"/>
  <c r="K163" i="28"/>
  <c r="J163" i="28"/>
  <c r="I163" i="28"/>
  <c r="L162" i="28"/>
  <c r="K162" i="28"/>
  <c r="J162" i="28"/>
  <c r="I162" i="28"/>
  <c r="L161" i="28"/>
  <c r="K161" i="28"/>
  <c r="J161" i="28"/>
  <c r="I161" i="28"/>
  <c r="L160" i="28"/>
  <c r="K160" i="28"/>
  <c r="J160" i="28"/>
  <c r="I160" i="28"/>
  <c r="L159" i="28"/>
  <c r="K159" i="28"/>
  <c r="J159" i="28"/>
  <c r="I159" i="28"/>
  <c r="L157" i="28"/>
  <c r="K157" i="28"/>
  <c r="J157" i="28"/>
  <c r="I157" i="28"/>
  <c r="L156" i="28"/>
  <c r="K156" i="28"/>
  <c r="J156" i="28"/>
  <c r="I156" i="28"/>
  <c r="L155" i="28"/>
  <c r="K155" i="28"/>
  <c r="J155" i="28"/>
  <c r="I155" i="28"/>
  <c r="L154" i="28"/>
  <c r="K154" i="28"/>
  <c r="J154" i="28"/>
  <c r="I154" i="28"/>
  <c r="L153" i="28"/>
  <c r="K153" i="28"/>
  <c r="J153" i="28"/>
  <c r="I153" i="28"/>
  <c r="L152" i="28"/>
  <c r="K152" i="28"/>
  <c r="J152" i="28"/>
  <c r="I152" i="28"/>
  <c r="L151" i="28"/>
  <c r="K151" i="28"/>
  <c r="J151" i="28"/>
  <c r="I151" i="28"/>
  <c r="L150" i="28"/>
  <c r="K150" i="28"/>
  <c r="J150" i="28"/>
  <c r="I150" i="28"/>
  <c r="L149" i="28"/>
  <c r="K149" i="28"/>
  <c r="J149" i="28"/>
  <c r="I149" i="28"/>
  <c r="L147" i="28"/>
  <c r="K147" i="28"/>
  <c r="J147" i="28"/>
  <c r="I147" i="28"/>
  <c r="L146" i="28"/>
  <c r="K146" i="28"/>
  <c r="J146" i="28"/>
  <c r="I146" i="28"/>
  <c r="L145" i="28"/>
  <c r="K145" i="28"/>
  <c r="J145" i="28"/>
  <c r="I145" i="28"/>
  <c r="L144" i="28"/>
  <c r="K144" i="28"/>
  <c r="J144" i="28"/>
  <c r="I144" i="28"/>
  <c r="L143" i="28"/>
  <c r="K143" i="28"/>
  <c r="J143" i="28"/>
  <c r="I143" i="28"/>
  <c r="L142" i="28"/>
  <c r="K142" i="28"/>
  <c r="J142" i="28"/>
  <c r="I142" i="28"/>
  <c r="L141" i="28"/>
  <c r="K141" i="28"/>
  <c r="J141" i="28"/>
  <c r="I141" i="28"/>
  <c r="L140" i="28"/>
  <c r="K140" i="28"/>
  <c r="J140" i="28"/>
  <c r="I140" i="28"/>
  <c r="L139" i="28"/>
  <c r="K139" i="28"/>
  <c r="J139" i="28"/>
  <c r="I139" i="28"/>
  <c r="L137" i="28"/>
  <c r="K137" i="28"/>
  <c r="J137" i="28"/>
  <c r="I137" i="28"/>
  <c r="L136" i="28"/>
  <c r="K136" i="28"/>
  <c r="J136" i="28"/>
  <c r="I136" i="28"/>
  <c r="L135" i="28"/>
  <c r="K135" i="28"/>
  <c r="J135" i="28"/>
  <c r="I135" i="28"/>
  <c r="L134" i="28"/>
  <c r="K134" i="28"/>
  <c r="J134" i="28"/>
  <c r="I134" i="28"/>
  <c r="L133" i="28"/>
  <c r="K133" i="28"/>
  <c r="J133" i="28"/>
  <c r="I133" i="28"/>
  <c r="L132" i="28"/>
  <c r="K132" i="28"/>
  <c r="J132" i="28"/>
  <c r="I132" i="28"/>
  <c r="L131" i="28"/>
  <c r="K131" i="28"/>
  <c r="J131" i="28"/>
  <c r="I131" i="28"/>
  <c r="L130" i="28"/>
  <c r="K130" i="28"/>
  <c r="J130" i="28"/>
  <c r="I130" i="28"/>
  <c r="L129" i="28"/>
  <c r="K129" i="28"/>
  <c r="J129" i="28"/>
  <c r="I129" i="28"/>
  <c r="L127" i="28"/>
  <c r="K127" i="28"/>
  <c r="J127" i="28"/>
  <c r="I127" i="28"/>
  <c r="L126" i="28"/>
  <c r="K126" i="28"/>
  <c r="J126" i="28"/>
  <c r="I126" i="28"/>
  <c r="L125" i="28"/>
  <c r="K125" i="28"/>
  <c r="J125" i="28"/>
  <c r="I125" i="28"/>
  <c r="L124" i="28"/>
  <c r="K124" i="28"/>
  <c r="J124" i="28"/>
  <c r="I124" i="28"/>
  <c r="L123" i="28"/>
  <c r="K123" i="28"/>
  <c r="J123" i="28"/>
  <c r="I123" i="28"/>
  <c r="L122" i="28"/>
  <c r="K122" i="28"/>
  <c r="J122" i="28"/>
  <c r="I122" i="28"/>
  <c r="L121" i="28"/>
  <c r="K121" i="28"/>
  <c r="J121" i="28"/>
  <c r="I121" i="28"/>
  <c r="L120" i="28"/>
  <c r="K120" i="28"/>
  <c r="J120" i="28"/>
  <c r="I120" i="28"/>
  <c r="L119" i="28"/>
  <c r="K119" i="28"/>
  <c r="J119" i="28"/>
  <c r="I119" i="28"/>
  <c r="L117" i="28"/>
  <c r="K117" i="28"/>
  <c r="J117" i="28"/>
  <c r="I117" i="28"/>
  <c r="L116" i="28"/>
  <c r="K116" i="28"/>
  <c r="J116" i="28"/>
  <c r="I116" i="28"/>
  <c r="L115" i="28"/>
  <c r="K115" i="28"/>
  <c r="J115" i="28"/>
  <c r="I115" i="28"/>
  <c r="L114" i="28"/>
  <c r="K114" i="28"/>
  <c r="J114" i="28"/>
  <c r="I114" i="28"/>
  <c r="L113" i="28"/>
  <c r="K113" i="28"/>
  <c r="J113" i="28"/>
  <c r="I113" i="28"/>
  <c r="L112" i="28"/>
  <c r="K112" i="28"/>
  <c r="J112" i="28"/>
  <c r="I112" i="28"/>
  <c r="L111" i="28"/>
  <c r="K111" i="28"/>
  <c r="J111" i="28"/>
  <c r="I111" i="28"/>
  <c r="L110" i="28"/>
  <c r="K110" i="28"/>
  <c r="J110" i="28"/>
  <c r="I110" i="28"/>
  <c r="L109" i="28"/>
  <c r="K109" i="28"/>
  <c r="J109" i="28"/>
  <c r="I109" i="28"/>
  <c r="L107" i="28"/>
  <c r="K107" i="28"/>
  <c r="J107" i="28"/>
  <c r="I107" i="28"/>
  <c r="L106" i="28"/>
  <c r="K106" i="28"/>
  <c r="J106" i="28"/>
  <c r="I106" i="28"/>
  <c r="L105" i="28"/>
  <c r="K105" i="28"/>
  <c r="J105" i="28"/>
  <c r="I105" i="28"/>
  <c r="L104" i="28"/>
  <c r="K104" i="28"/>
  <c r="J104" i="28"/>
  <c r="I104" i="28"/>
  <c r="L103" i="28"/>
  <c r="K103" i="28"/>
  <c r="J103" i="28"/>
  <c r="I103" i="28"/>
  <c r="L102" i="28"/>
  <c r="K102" i="28"/>
  <c r="J102" i="28"/>
  <c r="I102" i="28"/>
  <c r="L101" i="28"/>
  <c r="K101" i="28"/>
  <c r="J101" i="28"/>
  <c r="I101" i="28"/>
  <c r="L100" i="28"/>
  <c r="K100" i="28"/>
  <c r="J100" i="28"/>
  <c r="I100" i="28"/>
  <c r="L99" i="28"/>
  <c r="K99" i="28"/>
  <c r="J99" i="28"/>
  <c r="I99" i="28"/>
  <c r="L97" i="28"/>
  <c r="K97" i="28"/>
  <c r="J97" i="28"/>
  <c r="I97" i="28"/>
  <c r="L96" i="28"/>
  <c r="K96" i="28"/>
  <c r="J96" i="28"/>
  <c r="I96" i="28"/>
  <c r="L95" i="28"/>
  <c r="K95" i="28"/>
  <c r="J95" i="28"/>
  <c r="I95" i="28"/>
  <c r="L94" i="28"/>
  <c r="K94" i="28"/>
  <c r="J94" i="28"/>
  <c r="I94" i="28"/>
  <c r="L93" i="28"/>
  <c r="K93" i="28"/>
  <c r="J93" i="28"/>
  <c r="I93" i="28"/>
  <c r="L92" i="28"/>
  <c r="K92" i="28"/>
  <c r="J92" i="28"/>
  <c r="I92" i="28"/>
  <c r="L91" i="28"/>
  <c r="K91" i="28"/>
  <c r="J91" i="28"/>
  <c r="I91" i="28"/>
  <c r="L90" i="28"/>
  <c r="K90" i="28"/>
  <c r="J90" i="28"/>
  <c r="I90" i="28"/>
  <c r="L89" i="28"/>
  <c r="K89" i="28"/>
  <c r="J89" i="28"/>
  <c r="I89" i="28"/>
  <c r="L87" i="28"/>
  <c r="K87" i="28"/>
  <c r="J87" i="28"/>
  <c r="I87" i="28"/>
  <c r="L86" i="28"/>
  <c r="K86" i="28"/>
  <c r="J86" i="28"/>
  <c r="I86" i="28"/>
  <c r="L85" i="28"/>
  <c r="K85" i="28"/>
  <c r="J85" i="28"/>
  <c r="I85" i="28"/>
  <c r="L84" i="28"/>
  <c r="K84" i="28"/>
  <c r="J84" i="28"/>
  <c r="I84" i="28"/>
  <c r="L83" i="28"/>
  <c r="K83" i="28"/>
  <c r="J83" i="28"/>
  <c r="I83" i="28"/>
  <c r="L82" i="28"/>
  <c r="K82" i="28"/>
  <c r="J82" i="28"/>
  <c r="I82" i="28"/>
  <c r="L81" i="28"/>
  <c r="K81" i="28"/>
  <c r="J81" i="28"/>
  <c r="I81" i="28"/>
  <c r="L80" i="28"/>
  <c r="K80" i="28"/>
  <c r="J80" i="28"/>
  <c r="I80" i="28"/>
  <c r="L79" i="28"/>
  <c r="K79" i="28"/>
  <c r="J79" i="28"/>
  <c r="I79" i="28"/>
  <c r="L77" i="28"/>
  <c r="K77" i="28"/>
  <c r="J77" i="28"/>
  <c r="I77" i="28"/>
  <c r="L76" i="28"/>
  <c r="K76" i="28"/>
  <c r="J76" i="28"/>
  <c r="I76" i="28"/>
  <c r="L75" i="28"/>
  <c r="K75" i="28"/>
  <c r="J75" i="28"/>
  <c r="I75" i="28"/>
  <c r="L74" i="28"/>
  <c r="K74" i="28"/>
  <c r="J74" i="28"/>
  <c r="I74" i="28"/>
  <c r="L73" i="28"/>
  <c r="K73" i="28"/>
  <c r="J73" i="28"/>
  <c r="I73" i="28"/>
  <c r="L72" i="28"/>
  <c r="K72" i="28"/>
  <c r="J72" i="28"/>
  <c r="I72" i="28"/>
  <c r="L71" i="28"/>
  <c r="K71" i="28"/>
  <c r="J71" i="28"/>
  <c r="I71" i="28"/>
  <c r="L70" i="28"/>
  <c r="K70" i="28"/>
  <c r="J70" i="28"/>
  <c r="I70" i="28"/>
  <c r="L69" i="28"/>
  <c r="K69" i="28"/>
  <c r="J69" i="28"/>
  <c r="I69" i="28"/>
  <c r="L67" i="28"/>
  <c r="K67" i="28"/>
  <c r="J67" i="28"/>
  <c r="I67" i="28"/>
  <c r="L66" i="28"/>
  <c r="K66" i="28"/>
  <c r="J66" i="28"/>
  <c r="I66" i="28"/>
  <c r="L65" i="28"/>
  <c r="K65" i="28"/>
  <c r="J65" i="28"/>
  <c r="I65" i="28"/>
  <c r="L64" i="28"/>
  <c r="K64" i="28"/>
  <c r="J64" i="28"/>
  <c r="I64" i="28"/>
  <c r="L63" i="28"/>
  <c r="K63" i="28"/>
  <c r="J63" i="28"/>
  <c r="I63" i="28"/>
  <c r="L62" i="28"/>
  <c r="K62" i="28"/>
  <c r="J62" i="28"/>
  <c r="I62" i="28"/>
  <c r="L61" i="28"/>
  <c r="K61" i="28"/>
  <c r="J61" i="28"/>
  <c r="I61" i="28"/>
  <c r="L60" i="28"/>
  <c r="K60" i="28"/>
  <c r="J60" i="28"/>
  <c r="I60" i="28"/>
  <c r="L59" i="28"/>
  <c r="K59" i="28"/>
  <c r="J59" i="28"/>
  <c r="I59" i="28"/>
  <c r="L57" i="28"/>
  <c r="K57" i="28"/>
  <c r="J57" i="28"/>
  <c r="I57" i="28"/>
  <c r="L56" i="28"/>
  <c r="K56" i="28"/>
  <c r="J56" i="28"/>
  <c r="I56" i="28"/>
  <c r="L55" i="28"/>
  <c r="K55" i="28"/>
  <c r="J55" i="28"/>
  <c r="I55" i="28"/>
  <c r="L54" i="28"/>
  <c r="K54" i="28"/>
  <c r="J54" i="28"/>
  <c r="I54" i="28"/>
  <c r="L53" i="28"/>
  <c r="K53" i="28"/>
  <c r="J53" i="28"/>
  <c r="I53" i="28"/>
  <c r="L52" i="28"/>
  <c r="K52" i="28"/>
  <c r="J52" i="28"/>
  <c r="I52" i="28"/>
  <c r="L51" i="28"/>
  <c r="K51" i="28"/>
  <c r="J51" i="28"/>
  <c r="I51" i="28"/>
  <c r="L50" i="28"/>
  <c r="K50" i="28"/>
  <c r="J50" i="28"/>
  <c r="I50" i="28"/>
  <c r="L49" i="28"/>
  <c r="K49" i="28"/>
  <c r="J49" i="28"/>
  <c r="I49" i="28"/>
  <c r="L47" i="28"/>
  <c r="K47" i="28"/>
  <c r="J47" i="28"/>
  <c r="I47" i="28"/>
  <c r="L46" i="28"/>
  <c r="K46" i="28"/>
  <c r="J46" i="28"/>
  <c r="I46" i="28"/>
  <c r="L45" i="28"/>
  <c r="K45" i="28"/>
  <c r="J45" i="28"/>
  <c r="I45" i="28"/>
  <c r="L44" i="28"/>
  <c r="K44" i="28"/>
  <c r="J44" i="28"/>
  <c r="I44" i="28"/>
  <c r="L43" i="28"/>
  <c r="K43" i="28"/>
  <c r="J43" i="28"/>
  <c r="I43" i="28"/>
  <c r="L42" i="28"/>
  <c r="K42" i="28"/>
  <c r="J42" i="28"/>
  <c r="I42" i="28"/>
  <c r="L41" i="28"/>
  <c r="K41" i="28"/>
  <c r="J41" i="28"/>
  <c r="I41" i="28"/>
  <c r="L40" i="28"/>
  <c r="K40" i="28"/>
  <c r="J40" i="28"/>
  <c r="I40" i="28"/>
  <c r="L39" i="28"/>
  <c r="K39" i="28"/>
  <c r="J39" i="28"/>
  <c r="I39" i="28"/>
  <c r="B33" i="28"/>
  <c r="D28" i="28"/>
  <c r="Q76" i="27"/>
  <c r="P76" i="27"/>
  <c r="Q75" i="27"/>
  <c r="P75" i="27"/>
  <c r="Q74" i="27"/>
  <c r="P74" i="27"/>
  <c r="Q73" i="27"/>
  <c r="P73" i="27"/>
  <c r="Q71" i="27"/>
  <c r="P71" i="27"/>
  <c r="N71" i="27"/>
  <c r="M71" i="27"/>
  <c r="K71" i="27"/>
  <c r="J71" i="27"/>
  <c r="H71" i="27"/>
  <c r="G71" i="27"/>
  <c r="E71" i="27"/>
  <c r="D71" i="27"/>
  <c r="Q70" i="27"/>
  <c r="P70" i="27"/>
  <c r="N70" i="27"/>
  <c r="M70" i="27"/>
  <c r="K70" i="27"/>
  <c r="J70" i="27"/>
  <c r="H70" i="27"/>
  <c r="G70" i="27"/>
  <c r="E70" i="27"/>
  <c r="D70" i="27"/>
  <c r="Q69" i="27"/>
  <c r="P69" i="27"/>
  <c r="N69" i="27"/>
  <c r="M69" i="27"/>
  <c r="K69" i="27"/>
  <c r="J69" i="27"/>
  <c r="H69" i="27"/>
  <c r="G69" i="27"/>
  <c r="E69" i="27"/>
  <c r="D69" i="27"/>
  <c r="Q68" i="27"/>
  <c r="P68" i="27"/>
  <c r="N68" i="27"/>
  <c r="M68" i="27"/>
  <c r="K68" i="27"/>
  <c r="J68" i="27"/>
  <c r="H68" i="27"/>
  <c r="G68" i="27"/>
  <c r="E68" i="27"/>
  <c r="D68" i="27"/>
  <c r="Q66" i="27"/>
  <c r="P66" i="27"/>
  <c r="N66" i="27"/>
  <c r="M66" i="27"/>
  <c r="K66" i="27"/>
  <c r="J66" i="27"/>
  <c r="H66" i="27"/>
  <c r="G66" i="27"/>
  <c r="E66" i="27"/>
  <c r="D66" i="27"/>
  <c r="Q65" i="27"/>
  <c r="P65" i="27"/>
  <c r="N65" i="27"/>
  <c r="M65" i="27"/>
  <c r="K65" i="27"/>
  <c r="J65" i="27"/>
  <c r="H65" i="27"/>
  <c r="G65" i="27"/>
  <c r="E65" i="27"/>
  <c r="D65" i="27"/>
  <c r="Q64" i="27"/>
  <c r="P64" i="27"/>
  <c r="N64" i="27"/>
  <c r="M64" i="27"/>
  <c r="K64" i="27"/>
  <c r="J64" i="27"/>
  <c r="H64" i="27"/>
  <c r="G64" i="27"/>
  <c r="E64" i="27"/>
  <c r="D64" i="27"/>
  <c r="Q63" i="27"/>
  <c r="P63" i="27"/>
  <c r="N63" i="27"/>
  <c r="M63" i="27"/>
  <c r="K63" i="27"/>
  <c r="J63" i="27"/>
  <c r="H63" i="27"/>
  <c r="G63" i="27"/>
  <c r="E63" i="27"/>
  <c r="D63" i="27"/>
  <c r="Q61" i="27"/>
  <c r="P61" i="27"/>
  <c r="N61" i="27"/>
  <c r="M61" i="27"/>
  <c r="K61" i="27"/>
  <c r="J61" i="27"/>
  <c r="H61" i="27"/>
  <c r="G61" i="27"/>
  <c r="E61" i="27"/>
  <c r="D61" i="27"/>
  <c r="Q60" i="27"/>
  <c r="P60" i="27"/>
  <c r="N60" i="27"/>
  <c r="M60" i="27"/>
  <c r="K60" i="27"/>
  <c r="J60" i="27"/>
  <c r="H60" i="27"/>
  <c r="G60" i="27"/>
  <c r="E60" i="27"/>
  <c r="D60" i="27"/>
  <c r="Q59" i="27"/>
  <c r="P59" i="27"/>
  <c r="N59" i="27"/>
  <c r="M59" i="27"/>
  <c r="K59" i="27"/>
  <c r="J59" i="27"/>
  <c r="H59" i="27"/>
  <c r="G59" i="27"/>
  <c r="E59" i="27"/>
  <c r="D59" i="27"/>
  <c r="Q58" i="27"/>
  <c r="P58" i="27"/>
  <c r="N58" i="27"/>
  <c r="M58" i="27"/>
  <c r="K58" i="27"/>
  <c r="J58" i="27"/>
  <c r="H58" i="27"/>
  <c r="G58" i="27"/>
  <c r="E58" i="27"/>
  <c r="D58" i="27"/>
  <c r="Q56" i="27"/>
  <c r="P56" i="27"/>
  <c r="N56" i="27"/>
  <c r="M56" i="27"/>
  <c r="K56" i="27"/>
  <c r="J56" i="27"/>
  <c r="H56" i="27"/>
  <c r="G56" i="27"/>
  <c r="E56" i="27"/>
  <c r="D56" i="27"/>
  <c r="Q55" i="27"/>
  <c r="P55" i="27"/>
  <c r="N55" i="27"/>
  <c r="M55" i="27"/>
  <c r="K55" i="27"/>
  <c r="J55" i="27"/>
  <c r="H55" i="27"/>
  <c r="G55" i="27"/>
  <c r="E55" i="27"/>
  <c r="D55" i="27"/>
  <c r="Q54" i="27"/>
  <c r="P54" i="27"/>
  <c r="N54" i="27"/>
  <c r="M54" i="27"/>
  <c r="K54" i="27"/>
  <c r="J54" i="27"/>
  <c r="H54" i="27"/>
  <c r="G54" i="27"/>
  <c r="E54" i="27"/>
  <c r="D54" i="27"/>
  <c r="Q53" i="27"/>
  <c r="P53" i="27"/>
  <c r="N53" i="27"/>
  <c r="M53" i="27"/>
  <c r="K53" i="27"/>
  <c r="J53" i="27"/>
  <c r="H53" i="27"/>
  <c r="G53" i="27"/>
  <c r="E53" i="27"/>
  <c r="D53" i="27"/>
  <c r="Q51" i="27"/>
  <c r="P51" i="27"/>
  <c r="N51" i="27"/>
  <c r="M51" i="27"/>
  <c r="K51" i="27"/>
  <c r="J51" i="27"/>
  <c r="H51" i="27"/>
  <c r="G51" i="27"/>
  <c r="E51" i="27"/>
  <c r="D51" i="27"/>
  <c r="Q50" i="27"/>
  <c r="P50" i="27"/>
  <c r="N50" i="27"/>
  <c r="M50" i="27"/>
  <c r="K50" i="27"/>
  <c r="J50" i="27"/>
  <c r="H50" i="27"/>
  <c r="G50" i="27"/>
  <c r="E50" i="27"/>
  <c r="D50" i="27"/>
  <c r="Q49" i="27"/>
  <c r="P49" i="27"/>
  <c r="N49" i="27"/>
  <c r="M49" i="27"/>
  <c r="K49" i="27"/>
  <c r="J49" i="27"/>
  <c r="H49" i="27"/>
  <c r="G49" i="27"/>
  <c r="E49" i="27"/>
  <c r="D49" i="27"/>
  <c r="Q48" i="27"/>
  <c r="P48" i="27"/>
  <c r="N48" i="27"/>
  <c r="M48" i="27"/>
  <c r="K48" i="27"/>
  <c r="J48" i="27"/>
  <c r="H48" i="27"/>
  <c r="G48" i="27"/>
  <c r="E48" i="27"/>
  <c r="D48" i="27"/>
  <c r="Q46" i="27"/>
  <c r="P46" i="27"/>
  <c r="N46" i="27"/>
  <c r="M46" i="27"/>
  <c r="K46" i="27"/>
  <c r="J46" i="27"/>
  <c r="H46" i="27"/>
  <c r="G46" i="27"/>
  <c r="E46" i="27"/>
  <c r="D46" i="27"/>
  <c r="Q45" i="27"/>
  <c r="P45" i="27"/>
  <c r="N45" i="27"/>
  <c r="M45" i="27"/>
  <c r="K45" i="27"/>
  <c r="J45" i="27"/>
  <c r="H45" i="27"/>
  <c r="G45" i="27"/>
  <c r="E45" i="27"/>
  <c r="D45" i="27"/>
  <c r="Q44" i="27"/>
  <c r="P44" i="27"/>
  <c r="N44" i="27"/>
  <c r="M44" i="27"/>
  <c r="K44" i="27"/>
  <c r="J44" i="27"/>
  <c r="H44" i="27"/>
  <c r="G44" i="27"/>
  <c r="E44" i="27"/>
  <c r="D44" i="27"/>
  <c r="Q43" i="27"/>
  <c r="P43" i="27"/>
  <c r="N43" i="27"/>
  <c r="M43" i="27"/>
  <c r="K43" i="27"/>
  <c r="J43" i="27"/>
  <c r="H43" i="27"/>
  <c r="G43" i="27"/>
  <c r="E43" i="27"/>
  <c r="D43" i="27"/>
  <c r="Q41" i="27"/>
  <c r="P41" i="27"/>
  <c r="N41" i="27"/>
  <c r="M41" i="27"/>
  <c r="K41" i="27"/>
  <c r="J41" i="27"/>
  <c r="H41" i="27"/>
  <c r="G41" i="27"/>
  <c r="E41" i="27"/>
  <c r="D41" i="27"/>
  <c r="Q40" i="27"/>
  <c r="P40" i="27"/>
  <c r="N40" i="27"/>
  <c r="M40" i="27"/>
  <c r="K40" i="27"/>
  <c r="J40" i="27"/>
  <c r="H40" i="27"/>
  <c r="G40" i="27"/>
  <c r="E40" i="27"/>
  <c r="D40" i="27"/>
  <c r="Q39" i="27"/>
  <c r="P39" i="27"/>
  <c r="N39" i="27"/>
  <c r="M39" i="27"/>
  <c r="K39" i="27"/>
  <c r="J39" i="27"/>
  <c r="H39" i="27"/>
  <c r="G39" i="27"/>
  <c r="E39" i="27"/>
  <c r="D39" i="27"/>
  <c r="Q38" i="27"/>
  <c r="P38" i="27"/>
  <c r="N38" i="27"/>
  <c r="M38" i="27"/>
  <c r="K38" i="27"/>
  <c r="J38" i="27"/>
  <c r="H38" i="27"/>
  <c r="G38" i="27"/>
  <c r="E38" i="27"/>
  <c r="D38" i="27"/>
  <c r="Q36" i="27"/>
  <c r="P36" i="27"/>
  <c r="N36" i="27"/>
  <c r="M36" i="27"/>
  <c r="K36" i="27"/>
  <c r="J36" i="27"/>
  <c r="H36" i="27"/>
  <c r="G36" i="27"/>
  <c r="E36" i="27"/>
  <c r="D36" i="27"/>
  <c r="Q35" i="27"/>
  <c r="P35" i="27"/>
  <c r="N35" i="27"/>
  <c r="M35" i="27"/>
  <c r="K35" i="27"/>
  <c r="J35" i="27"/>
  <c r="H35" i="27"/>
  <c r="G35" i="27"/>
  <c r="E35" i="27"/>
  <c r="D35" i="27"/>
  <c r="Q34" i="27"/>
  <c r="P34" i="27"/>
  <c r="N34" i="27"/>
  <c r="M34" i="27"/>
  <c r="K34" i="27"/>
  <c r="J34" i="27"/>
  <c r="H34" i="27"/>
  <c r="G34" i="27"/>
  <c r="E34" i="27"/>
  <c r="D34" i="27"/>
  <c r="Q33" i="27"/>
  <c r="P33" i="27"/>
  <c r="N33" i="27"/>
  <c r="M33" i="27"/>
  <c r="K33" i="27"/>
  <c r="J33" i="27"/>
  <c r="H33" i="27"/>
  <c r="G33" i="27"/>
  <c r="E33" i="27"/>
  <c r="D33" i="27"/>
  <c r="C8" i="27"/>
  <c r="D30" i="28" l="1"/>
  <c r="D31" i="28"/>
  <c r="D32" i="28"/>
  <c r="D33" i="28"/>
  <c r="D26" i="28"/>
  <c r="D24" i="28"/>
  <c r="D22" i="28"/>
  <c r="D23" i="28"/>
  <c r="F25" i="27"/>
  <c r="H25" i="27" s="1"/>
  <c r="D23" i="27"/>
  <c r="F24" i="27"/>
  <c r="H24" i="27" s="1"/>
  <c r="D22" i="27"/>
  <c r="F23" i="27"/>
  <c r="F22" i="27"/>
  <c r="H23" i="27"/>
  <c r="D27" i="27"/>
  <c r="H22" i="27"/>
  <c r="D26" i="27"/>
  <c r="F27" i="27"/>
  <c r="H27" i="27" s="1"/>
  <c r="D25" i="27"/>
  <c r="F26" i="27"/>
  <c r="H26" i="27" s="1"/>
  <c r="D24" i="27"/>
  <c r="D77" i="26"/>
  <c r="D76" i="26"/>
  <c r="D35" i="26" s="1"/>
  <c r="D75" i="26"/>
  <c r="D34" i="26" s="1"/>
  <c r="D74" i="26"/>
  <c r="D33" i="26" s="1"/>
  <c r="D73" i="26"/>
  <c r="D32" i="26" s="1"/>
  <c r="D72" i="26"/>
  <c r="D31" i="26" s="1"/>
  <c r="D71" i="26"/>
  <c r="D30" i="26" s="1"/>
  <c r="D70" i="26"/>
  <c r="D29" i="26" s="1"/>
  <c r="D69" i="26"/>
  <c r="D68" i="26"/>
  <c r="D27" i="26" s="1"/>
  <c r="D67" i="26"/>
  <c r="E26" i="26" s="1"/>
  <c r="D66" i="26"/>
  <c r="D65" i="26"/>
  <c r="E24" i="26" s="1"/>
  <c r="D64" i="26"/>
  <c r="D63" i="26"/>
  <c r="D62" i="26"/>
  <c r="E21" i="26" s="1"/>
  <c r="D61" i="26"/>
  <c r="D60" i="26"/>
  <c r="D59" i="26"/>
  <c r="D58" i="26"/>
  <c r="D57" i="26"/>
  <c r="D56" i="26"/>
  <c r="D15" i="26" s="1"/>
  <c r="D55" i="26"/>
  <c r="D54" i="26"/>
  <c r="D53" i="26"/>
  <c r="D52" i="26"/>
  <c r="D11" i="26" s="1"/>
  <c r="D51" i="26"/>
  <c r="D10" i="26" s="1"/>
  <c r="D65" i="21"/>
  <c r="E24" i="21" s="1"/>
  <c r="D66" i="21"/>
  <c r="D67" i="21"/>
  <c r="D68" i="21"/>
  <c r="D27" i="21" s="1"/>
  <c r="D69" i="21"/>
  <c r="D28" i="21" s="1"/>
  <c r="D70" i="21"/>
  <c r="D29" i="21" s="1"/>
  <c r="D71" i="21"/>
  <c r="D30" i="21" s="1"/>
  <c r="D72" i="21"/>
  <c r="D31" i="21" s="1"/>
  <c r="D73" i="21"/>
  <c r="D32" i="21" s="1"/>
  <c r="D74" i="21"/>
  <c r="D33" i="21" s="1"/>
  <c r="D75" i="21"/>
  <c r="D34" i="21" s="1"/>
  <c r="D76" i="21"/>
  <c r="D35" i="21" s="1"/>
  <c r="D77" i="21"/>
  <c r="D36" i="21" s="1"/>
  <c r="D62" i="21"/>
  <c r="D63" i="21"/>
  <c r="D58" i="21"/>
  <c r="D17" i="21" s="1"/>
  <c r="D59" i="21"/>
  <c r="D18" i="21" s="1"/>
  <c r="D54" i="21"/>
  <c r="D13" i="21" s="1"/>
  <c r="D55" i="21"/>
  <c r="D14" i="21" s="1"/>
  <c r="D51" i="21"/>
  <c r="D10" i="21" s="1"/>
  <c r="D26" i="21" l="1"/>
  <c r="E26" i="21"/>
  <c r="E34" i="26"/>
  <c r="E33" i="26"/>
  <c r="E35" i="26"/>
  <c r="E32" i="26"/>
  <c r="D23" i="26"/>
  <c r="E23" i="26"/>
  <c r="D26" i="26"/>
  <c r="D25" i="26"/>
  <c r="E25" i="26"/>
  <c r="D19" i="26"/>
  <c r="E19" i="26"/>
  <c r="D20" i="26"/>
  <c r="E20" i="26"/>
  <c r="D22" i="26"/>
  <c r="E22" i="26"/>
  <c r="D25" i="21"/>
  <c r="E25" i="21"/>
  <c r="D24" i="21"/>
  <c r="D22" i="21"/>
  <c r="E22" i="21"/>
  <c r="D21" i="21"/>
  <c r="E21" i="21"/>
  <c r="D16" i="26"/>
  <c r="E16" i="26" s="1"/>
  <c r="E28" i="26"/>
  <c r="D28" i="26"/>
  <c r="D21" i="26"/>
  <c r="D17" i="26"/>
  <c r="E17" i="26" s="1"/>
  <c r="D18" i="26"/>
  <c r="E18" i="26" s="1"/>
  <c r="D12" i="26"/>
  <c r="E12" i="26" s="1"/>
  <c r="D24" i="26"/>
  <c r="E36" i="26"/>
  <c r="D36" i="26"/>
  <c r="E10" i="26"/>
  <c r="E13" i="26"/>
  <c r="D13" i="26"/>
  <c r="E14" i="26"/>
  <c r="D14" i="26"/>
  <c r="E11" i="26"/>
  <c r="E27" i="26"/>
  <c r="E18" i="21"/>
  <c r="E17" i="21"/>
  <c r="E14" i="21"/>
  <c r="E13" i="21"/>
  <c r="E10" i="21"/>
  <c r="E30" i="26"/>
  <c r="E15" i="26"/>
  <c r="E31" i="26"/>
  <c r="E29" i="26"/>
  <c r="J51" i="17"/>
  <c r="I51" i="17"/>
  <c r="D16" i="15"/>
  <c r="E35" i="19"/>
  <c r="E36" i="19"/>
  <c r="D44" i="20"/>
  <c r="D39" i="23"/>
  <c r="D40" i="23"/>
  <c r="D38" i="23"/>
  <c r="E12" i="23" s="1"/>
  <c r="F12" i="23" s="1"/>
  <c r="D37" i="23"/>
  <c r="E11" i="23" s="1"/>
  <c r="F11" i="23" s="1"/>
  <c r="E33" i="21"/>
  <c r="J50" i="17"/>
  <c r="J49" i="17"/>
  <c r="J48" i="17"/>
  <c r="J47" i="17"/>
  <c r="J46" i="17"/>
  <c r="J45" i="17"/>
  <c r="J44" i="17"/>
  <c r="J43" i="17"/>
  <c r="J42" i="17"/>
  <c r="J56" i="22"/>
  <c r="J55" i="22"/>
  <c r="J54" i="22"/>
  <c r="J53" i="22"/>
  <c r="J52" i="22"/>
  <c r="J51" i="22"/>
  <c r="J50" i="22"/>
  <c r="J49" i="22"/>
  <c r="J48" i="22"/>
  <c r="T56" i="22"/>
  <c r="S56" i="22"/>
  <c r="I56" i="22"/>
  <c r="B19" i="22"/>
  <c r="T55" i="22"/>
  <c r="S55" i="22"/>
  <c r="I55" i="22"/>
  <c r="B18" i="22"/>
  <c r="T54" i="22"/>
  <c r="S54" i="22"/>
  <c r="I54" i="22"/>
  <c r="T53" i="22"/>
  <c r="S53" i="22"/>
  <c r="I53" i="22"/>
  <c r="T52" i="22"/>
  <c r="S52" i="22"/>
  <c r="I52" i="22"/>
  <c r="T51" i="22"/>
  <c r="S51" i="22"/>
  <c r="I51" i="22"/>
  <c r="T50" i="22"/>
  <c r="S50" i="22"/>
  <c r="I50" i="22"/>
  <c r="T49" i="22"/>
  <c r="S49" i="22"/>
  <c r="I49" i="22"/>
  <c r="T48" i="22"/>
  <c r="S48" i="22"/>
  <c r="I48" i="22"/>
  <c r="B11" i="22"/>
  <c r="G18" i="22"/>
  <c r="G19" i="22"/>
  <c r="B12" i="22"/>
  <c r="F22" i="22"/>
  <c r="B13" i="22"/>
  <c r="F23" i="22"/>
  <c r="B17" i="22"/>
  <c r="F27" i="22"/>
  <c r="F29" i="22"/>
  <c r="D12" i="22"/>
  <c r="F12" i="22"/>
  <c r="D13" i="22"/>
  <c r="F13" i="22"/>
  <c r="D14" i="22"/>
  <c r="F14" i="22"/>
  <c r="D15" i="22"/>
  <c r="F15" i="22"/>
  <c r="D16" i="22"/>
  <c r="F16" i="22"/>
  <c r="D17" i="22"/>
  <c r="F17" i="22"/>
  <c r="D18" i="22"/>
  <c r="F18" i="22"/>
  <c r="D19" i="22"/>
  <c r="F19" i="22"/>
  <c r="F21" i="22"/>
  <c r="F28" i="22"/>
  <c r="D11" i="22"/>
  <c r="F11" i="22"/>
  <c r="B14" i="22"/>
  <c r="B15" i="22"/>
  <c r="B16" i="22"/>
  <c r="G13" i="22"/>
  <c r="G17" i="22"/>
  <c r="G11" i="22"/>
  <c r="G12" i="22"/>
  <c r="F26" i="22"/>
  <c r="G16" i="22"/>
  <c r="F24" i="22"/>
  <c r="G14" i="22"/>
  <c r="F25" i="22"/>
  <c r="G15" i="22"/>
  <c r="D46" i="12"/>
  <c r="D42" i="20"/>
  <c r="D14" i="20" s="1"/>
  <c r="D36" i="19"/>
  <c r="D52" i="12"/>
  <c r="D21" i="12" s="1"/>
  <c r="D51" i="12"/>
  <c r="D20" i="12" s="1"/>
  <c r="I50" i="17"/>
  <c r="E19" i="17" s="1"/>
  <c r="C32" i="17" s="1"/>
  <c r="I49" i="17"/>
  <c r="E18" i="17"/>
  <c r="C31" i="17" s="1"/>
  <c r="E28" i="21"/>
  <c r="D64" i="21"/>
  <c r="E23" i="21" s="1"/>
  <c r="D61" i="21"/>
  <c r="E20" i="21" s="1"/>
  <c r="D60" i="21"/>
  <c r="E19" i="21" s="1"/>
  <c r="D57" i="21"/>
  <c r="D56" i="21"/>
  <c r="D15" i="21" s="1"/>
  <c r="D53" i="21"/>
  <c r="D12" i="21" s="1"/>
  <c r="D52" i="21"/>
  <c r="D11" i="21" s="1"/>
  <c r="D47" i="20"/>
  <c r="D46" i="20"/>
  <c r="D45" i="20"/>
  <c r="D43" i="20"/>
  <c r="D41" i="20"/>
  <c r="D40" i="20"/>
  <c r="D12" i="20" s="1"/>
  <c r="D39" i="20"/>
  <c r="D38" i="20"/>
  <c r="I44" i="17"/>
  <c r="E13" i="17" s="1"/>
  <c r="C26" i="17" s="1"/>
  <c r="I45" i="17"/>
  <c r="I46" i="17"/>
  <c r="I47" i="17"/>
  <c r="E16" i="17" s="1"/>
  <c r="C29" i="17" s="1"/>
  <c r="I48" i="17"/>
  <c r="D55" i="12"/>
  <c r="D24" i="12" s="1"/>
  <c r="D56" i="12"/>
  <c r="D25" i="12" s="1"/>
  <c r="E15" i="17"/>
  <c r="C28" i="17" s="1"/>
  <c r="E14" i="17"/>
  <c r="C27" i="17" s="1"/>
  <c r="D35" i="19"/>
  <c r="D34" i="19"/>
  <c r="K39" i="18"/>
  <c r="M7" i="18"/>
  <c r="J39" i="18"/>
  <c r="I39" i="18"/>
  <c r="H39" i="18"/>
  <c r="G39" i="18"/>
  <c r="F39" i="18"/>
  <c r="L9" i="18"/>
  <c r="E39" i="18"/>
  <c r="D39" i="18"/>
  <c r="K38" i="18"/>
  <c r="J38" i="18"/>
  <c r="I38" i="18"/>
  <c r="H38" i="18"/>
  <c r="G38" i="18"/>
  <c r="F38" i="18"/>
  <c r="E38" i="18"/>
  <c r="D38" i="18"/>
  <c r="K37" i="18"/>
  <c r="J37" i="18"/>
  <c r="I37" i="18"/>
  <c r="H37" i="18"/>
  <c r="G37" i="18"/>
  <c r="F37" i="18"/>
  <c r="E37" i="18"/>
  <c r="D37" i="18"/>
  <c r="K36" i="18"/>
  <c r="J36" i="18"/>
  <c r="I36" i="18"/>
  <c r="H36" i="18"/>
  <c r="G36" i="18"/>
  <c r="F36" i="18"/>
  <c r="E36" i="18"/>
  <c r="D36" i="18"/>
  <c r="K34" i="18"/>
  <c r="J34" i="18"/>
  <c r="I34" i="18"/>
  <c r="H34" i="18"/>
  <c r="G34" i="18"/>
  <c r="F34" i="18"/>
  <c r="E34" i="18"/>
  <c r="D34" i="18"/>
  <c r="K33" i="18"/>
  <c r="J33" i="18"/>
  <c r="I33" i="18"/>
  <c r="H33" i="18"/>
  <c r="G33" i="18"/>
  <c r="F33" i="18"/>
  <c r="E33" i="18"/>
  <c r="D33" i="18"/>
  <c r="K32" i="18"/>
  <c r="J32" i="18"/>
  <c r="L7" i="18" s="1"/>
  <c r="I32" i="18"/>
  <c r="K7" i="18" s="1"/>
  <c r="H32" i="18"/>
  <c r="J7" i="18" s="1"/>
  <c r="N7" i="18" s="1"/>
  <c r="G32" i="18"/>
  <c r="M9" i="18" s="1"/>
  <c r="F32" i="18"/>
  <c r="E32" i="18"/>
  <c r="K9" i="18" s="1"/>
  <c r="D32" i="18"/>
  <c r="M13" i="18"/>
  <c r="L13" i="18"/>
  <c r="K13" i="18"/>
  <c r="J13" i="18"/>
  <c r="I13" i="18"/>
  <c r="H13" i="18"/>
  <c r="J9" i="18"/>
  <c r="N9" i="18" s="1"/>
  <c r="D54" i="12"/>
  <c r="D23" i="12" s="1"/>
  <c r="D53" i="12"/>
  <c r="I43" i="17"/>
  <c r="E12" i="17" s="1"/>
  <c r="I42" i="17"/>
  <c r="I99" i="15"/>
  <c r="L32" i="15"/>
  <c r="H99" i="15"/>
  <c r="G99" i="15"/>
  <c r="M32" i="15"/>
  <c r="I98" i="15"/>
  <c r="H98" i="15"/>
  <c r="G98" i="15"/>
  <c r="I97" i="15"/>
  <c r="H97" i="15"/>
  <c r="G97" i="15"/>
  <c r="I96" i="15"/>
  <c r="H96" i="15"/>
  <c r="G96" i="15"/>
  <c r="I95" i="15"/>
  <c r="H95" i="15"/>
  <c r="G95" i="15"/>
  <c r="I94" i="15"/>
  <c r="H94" i="15"/>
  <c r="G94" i="15"/>
  <c r="I93" i="15"/>
  <c r="H93" i="15"/>
  <c r="J33" i="15"/>
  <c r="G93" i="15"/>
  <c r="M33" i="15"/>
  <c r="I92" i="15"/>
  <c r="H92" i="15"/>
  <c r="G92" i="15"/>
  <c r="I91" i="15"/>
  <c r="H91" i="15"/>
  <c r="G91" i="15"/>
  <c r="I90" i="15"/>
  <c r="H90" i="15"/>
  <c r="G90" i="15"/>
  <c r="I89" i="15"/>
  <c r="H89" i="15"/>
  <c r="G89" i="15"/>
  <c r="I88" i="15"/>
  <c r="H88" i="15"/>
  <c r="G88" i="15"/>
  <c r="I87" i="15"/>
  <c r="H87" i="15"/>
  <c r="G87" i="15"/>
  <c r="I86" i="15"/>
  <c r="H86" i="15"/>
  <c r="G86" i="15"/>
  <c r="I85" i="15"/>
  <c r="H85" i="15"/>
  <c r="G85" i="15"/>
  <c r="I84" i="15"/>
  <c r="H84" i="15"/>
  <c r="G84" i="15"/>
  <c r="I83" i="15"/>
  <c r="H83" i="15"/>
  <c r="G83" i="15"/>
  <c r="I82" i="15"/>
  <c r="H82" i="15"/>
  <c r="G82" i="15"/>
  <c r="I81" i="15"/>
  <c r="H81" i="15"/>
  <c r="G81" i="15"/>
  <c r="I80" i="15"/>
  <c r="H80" i="15"/>
  <c r="G80" i="15"/>
  <c r="I79" i="15"/>
  <c r="H79" i="15"/>
  <c r="G79" i="15"/>
  <c r="I78" i="15"/>
  <c r="H78" i="15"/>
  <c r="G78" i="15"/>
  <c r="I77" i="15"/>
  <c r="L35" i="15"/>
  <c r="H77" i="15"/>
  <c r="J35" i="15"/>
  <c r="G77" i="15"/>
  <c r="M35" i="15"/>
  <c r="I76" i="15"/>
  <c r="H76" i="15"/>
  <c r="G76" i="15"/>
  <c r="I75" i="15"/>
  <c r="H75" i="15"/>
  <c r="G75" i="15"/>
  <c r="I74" i="15"/>
  <c r="H74" i="15"/>
  <c r="G74" i="15"/>
  <c r="M36" i="15"/>
  <c r="I73" i="15"/>
  <c r="H73" i="15"/>
  <c r="G73" i="15"/>
  <c r="I72" i="15"/>
  <c r="H72" i="15"/>
  <c r="G72" i="15"/>
  <c r="I71" i="15"/>
  <c r="H71" i="15"/>
  <c r="G71" i="15"/>
  <c r="I70" i="15"/>
  <c r="H70" i="15"/>
  <c r="G70" i="15"/>
  <c r="I69" i="15"/>
  <c r="H69" i="15"/>
  <c r="J37" i="15"/>
  <c r="G69" i="15"/>
  <c r="M37" i="15"/>
  <c r="I68" i="15"/>
  <c r="H68" i="15"/>
  <c r="G68" i="15"/>
  <c r="I67" i="15"/>
  <c r="H67" i="15"/>
  <c r="G67" i="15"/>
  <c r="I66" i="15"/>
  <c r="H66" i="15"/>
  <c r="G66" i="15"/>
  <c r="I65" i="15"/>
  <c r="H65" i="15"/>
  <c r="G65" i="15"/>
  <c r="I64" i="15"/>
  <c r="H64" i="15"/>
  <c r="G64" i="15"/>
  <c r="I63" i="15"/>
  <c r="H63" i="15"/>
  <c r="G63" i="15"/>
  <c r="I62" i="15"/>
  <c r="H62" i="15"/>
  <c r="G62" i="15"/>
  <c r="I61" i="15"/>
  <c r="H61" i="15"/>
  <c r="J38" i="15"/>
  <c r="G61" i="15"/>
  <c r="M38" i="15"/>
  <c r="M39" i="15"/>
  <c r="M40" i="15"/>
  <c r="I60" i="15"/>
  <c r="H60" i="15"/>
  <c r="G60" i="15"/>
  <c r="I59" i="15"/>
  <c r="H59" i="15"/>
  <c r="G59" i="15"/>
  <c r="I58" i="15"/>
  <c r="H58" i="15"/>
  <c r="G58" i="15"/>
  <c r="I57" i="15"/>
  <c r="H57" i="15"/>
  <c r="G57" i="15"/>
  <c r="I56" i="15"/>
  <c r="H56" i="15"/>
  <c r="G56" i="15"/>
  <c r="G55" i="15"/>
  <c r="K38" i="15"/>
  <c r="K39" i="15"/>
  <c r="K40" i="15"/>
  <c r="G38" i="15"/>
  <c r="G39" i="15"/>
  <c r="G40" i="15"/>
  <c r="G41" i="15"/>
  <c r="G42" i="15"/>
  <c r="G43" i="15"/>
  <c r="G44" i="15"/>
  <c r="G45" i="15"/>
  <c r="G46" i="15"/>
  <c r="M8" i="15"/>
  <c r="K8" i="15" s="1"/>
  <c r="F38" i="15"/>
  <c r="E38" i="15"/>
  <c r="E39" i="15"/>
  <c r="E40" i="15"/>
  <c r="E41" i="15"/>
  <c r="E42" i="15"/>
  <c r="E43" i="15"/>
  <c r="E44" i="15"/>
  <c r="E45" i="15"/>
  <c r="E46" i="15"/>
  <c r="D38" i="15"/>
  <c r="H38" i="15"/>
  <c r="L37" i="15"/>
  <c r="K37" i="15"/>
  <c r="N37" i="15"/>
  <c r="G37" i="15"/>
  <c r="F37" i="15"/>
  <c r="E37" i="15"/>
  <c r="D37" i="15"/>
  <c r="H37" i="15"/>
  <c r="K36" i="15"/>
  <c r="N36" i="15"/>
  <c r="G36" i="15"/>
  <c r="F36" i="15"/>
  <c r="E36" i="15"/>
  <c r="D36" i="15"/>
  <c r="H36" i="15"/>
  <c r="K35" i="15"/>
  <c r="N35" i="15"/>
  <c r="G35" i="15"/>
  <c r="F35" i="15"/>
  <c r="E35" i="15"/>
  <c r="D35" i="15"/>
  <c r="H35" i="15"/>
  <c r="M34" i="15"/>
  <c r="K34" i="15"/>
  <c r="N34" i="15"/>
  <c r="J34" i="15"/>
  <c r="G34" i="15"/>
  <c r="F34" i="15"/>
  <c r="E34" i="15"/>
  <c r="D34" i="15"/>
  <c r="H34" i="15"/>
  <c r="K33" i="15"/>
  <c r="N33" i="15"/>
  <c r="G33" i="15"/>
  <c r="F33" i="15"/>
  <c r="E33" i="15"/>
  <c r="D33" i="15"/>
  <c r="H33" i="15"/>
  <c r="K32" i="15"/>
  <c r="J32" i="15"/>
  <c r="G32" i="15"/>
  <c r="F32" i="15"/>
  <c r="E32" i="15"/>
  <c r="D32" i="15"/>
  <c r="H32" i="15"/>
  <c r="M31" i="15"/>
  <c r="K31" i="15"/>
  <c r="J31" i="15"/>
  <c r="G31" i="15"/>
  <c r="F31" i="15"/>
  <c r="E31" i="15"/>
  <c r="D31" i="15"/>
  <c r="H31" i="15"/>
  <c r="L30" i="15"/>
  <c r="K30" i="15"/>
  <c r="J30" i="15"/>
  <c r="G30" i="15"/>
  <c r="K59" i="15"/>
  <c r="F30" i="15"/>
  <c r="K58" i="15"/>
  <c r="E30" i="15"/>
  <c r="K57" i="15"/>
  <c r="D30" i="15"/>
  <c r="K56" i="15"/>
  <c r="D50" i="12"/>
  <c r="D49" i="12"/>
  <c r="D18" i="12" s="1"/>
  <c r="D48" i="12"/>
  <c r="D17" i="12" s="1"/>
  <c r="D45" i="12"/>
  <c r="D14" i="12" s="1"/>
  <c r="D44" i="12"/>
  <c r="D13" i="12" s="1"/>
  <c r="D43" i="12"/>
  <c r="D12" i="12" s="1"/>
  <c r="D42" i="12"/>
  <c r="D41" i="12"/>
  <c r="D10" i="12" s="1"/>
  <c r="J8" i="15"/>
  <c r="J36" i="15"/>
  <c r="L38" i="15"/>
  <c r="L39" i="15"/>
  <c r="L36" i="15"/>
  <c r="H30" i="15"/>
  <c r="O32" i="15"/>
  <c r="O31" i="15"/>
  <c r="O36" i="15"/>
  <c r="Q36" i="15"/>
  <c r="I36" i="15"/>
  <c r="R36" i="15"/>
  <c r="I31" i="15"/>
  <c r="R31" i="15"/>
  <c r="M30" i="15"/>
  <c r="I30" i="15"/>
  <c r="R30" i="15"/>
  <c r="K41" i="15"/>
  <c r="K42" i="15"/>
  <c r="K43" i="15"/>
  <c r="K44" i="15"/>
  <c r="K45" i="15"/>
  <c r="K46" i="15"/>
  <c r="K6" i="15"/>
  <c r="J39" i="15"/>
  <c r="J40" i="15"/>
  <c r="J41" i="15"/>
  <c r="J42" i="15"/>
  <c r="J43" i="15"/>
  <c r="J44" i="15"/>
  <c r="J45" i="15"/>
  <c r="J46" i="15"/>
  <c r="J6" i="15"/>
  <c r="D39" i="15"/>
  <c r="L40" i="15"/>
  <c r="L41" i="15"/>
  <c r="L42" i="15"/>
  <c r="L43" i="15"/>
  <c r="L44" i="15"/>
  <c r="L45" i="15"/>
  <c r="L46" i="15"/>
  <c r="L6" i="15"/>
  <c r="F39" i="15"/>
  <c r="F40" i="15"/>
  <c r="F41" i="15"/>
  <c r="F42" i="15"/>
  <c r="F43" i="15"/>
  <c r="F44" i="15"/>
  <c r="F45" i="15"/>
  <c r="F46" i="15"/>
  <c r="L8" i="15"/>
  <c r="N38" i="15"/>
  <c r="O38" i="15"/>
  <c r="M41" i="15"/>
  <c r="M42" i="15"/>
  <c r="M43" i="15"/>
  <c r="M44" i="15"/>
  <c r="M45" i="15"/>
  <c r="M46" i="15"/>
  <c r="M6" i="15"/>
  <c r="L31" i="15"/>
  <c r="L33" i="15"/>
  <c r="I32" i="15"/>
  <c r="R32" i="15"/>
  <c r="O33" i="15"/>
  <c r="L34" i="15"/>
  <c r="O35" i="15"/>
  <c r="O37" i="15"/>
  <c r="O34" i="15"/>
  <c r="E11" i="17"/>
  <c r="C24" i="17" s="1"/>
  <c r="P36" i="15"/>
  <c r="O30" i="15"/>
  <c r="H39" i="15"/>
  <c r="D40" i="15"/>
  <c r="N39" i="15"/>
  <c r="P34" i="15"/>
  <c r="Q34" i="15"/>
  <c r="I34" i="15"/>
  <c r="R34" i="15"/>
  <c r="P33" i="15"/>
  <c r="Q33" i="15"/>
  <c r="I33" i="15"/>
  <c r="R33" i="15"/>
  <c r="Q37" i="15"/>
  <c r="I37" i="15"/>
  <c r="R37" i="15"/>
  <c r="P37" i="15"/>
  <c r="P35" i="15"/>
  <c r="Q35" i="15"/>
  <c r="I35" i="15"/>
  <c r="R35" i="15"/>
  <c r="P38" i="15"/>
  <c r="Q38" i="15"/>
  <c r="N40" i="15"/>
  <c r="O39" i="15"/>
  <c r="H40" i="15"/>
  <c r="D41" i="15"/>
  <c r="I38" i="15"/>
  <c r="N41" i="15"/>
  <c r="O40" i="15"/>
  <c r="H41" i="15"/>
  <c r="D42" i="15"/>
  <c r="Q39" i="15"/>
  <c r="I39" i="15"/>
  <c r="R39" i="15"/>
  <c r="P39" i="15"/>
  <c r="R38" i="15"/>
  <c r="N42" i="15"/>
  <c r="O41" i="15"/>
  <c r="D43" i="15"/>
  <c r="H42" i="15"/>
  <c r="P40" i="15"/>
  <c r="Q40" i="15"/>
  <c r="I40" i="15"/>
  <c r="R40" i="15"/>
  <c r="D44" i="15"/>
  <c r="H43" i="15"/>
  <c r="N43" i="15"/>
  <c r="O42" i="15"/>
  <c r="P41" i="15"/>
  <c r="Q41" i="15"/>
  <c r="I41" i="15"/>
  <c r="R41" i="15"/>
  <c r="H44" i="15"/>
  <c r="D45" i="15"/>
  <c r="N44" i="15"/>
  <c r="O43" i="15"/>
  <c r="Q42" i="15"/>
  <c r="I42" i="15"/>
  <c r="R42" i="15"/>
  <c r="P42" i="15"/>
  <c r="H45" i="15"/>
  <c r="D46" i="15"/>
  <c r="O44" i="15"/>
  <c r="P44" i="15"/>
  <c r="N45" i="15"/>
  <c r="Q43" i="15"/>
  <c r="I43" i="15"/>
  <c r="R43" i="15"/>
  <c r="P43" i="15"/>
  <c r="Q44" i="15"/>
  <c r="I44" i="15"/>
  <c r="R44" i="15"/>
  <c r="N46" i="15"/>
  <c r="O45" i="15"/>
  <c r="I8" i="15"/>
  <c r="H46" i="15"/>
  <c r="R8" i="15"/>
  <c r="O6" i="15"/>
  <c r="O46" i="15"/>
  <c r="Q45" i="15"/>
  <c r="I45" i="15"/>
  <c r="R45" i="15"/>
  <c r="P45" i="15"/>
  <c r="P46" i="15"/>
  <c r="P6" i="15"/>
  <c r="Q46" i="15"/>
  <c r="Q6" i="15"/>
  <c r="I46" i="15"/>
  <c r="R46" i="15"/>
  <c r="R6" i="15"/>
  <c r="I6" i="15"/>
  <c r="D20" i="21" l="1"/>
  <c r="D16" i="21"/>
  <c r="E16" i="21" s="1"/>
  <c r="D19" i="21"/>
  <c r="D15" i="12"/>
  <c r="D14" i="23"/>
  <c r="G14" i="23" s="1"/>
  <c r="D11" i="23"/>
  <c r="G11" i="23" s="1"/>
  <c r="D13" i="23"/>
  <c r="G13" i="23" s="1"/>
  <c r="D12" i="23"/>
  <c r="G12" i="23" s="1"/>
  <c r="D23" i="21"/>
  <c r="E24" i="12"/>
  <c r="E19" i="12"/>
  <c r="D19" i="12"/>
  <c r="D22" i="12"/>
  <c r="E22" i="12" s="1"/>
  <c r="E11" i="12"/>
  <c r="D11" i="12"/>
  <c r="E13" i="12"/>
  <c r="E12" i="12"/>
  <c r="E25" i="12"/>
  <c r="E18" i="12"/>
  <c r="E10" i="12"/>
  <c r="E23" i="12"/>
  <c r="E14" i="12"/>
  <c r="E15" i="12"/>
  <c r="E20" i="12"/>
  <c r="E21" i="12"/>
  <c r="D17" i="20"/>
  <c r="E17" i="20" s="1"/>
  <c r="D18" i="20"/>
  <c r="E18" i="20" s="1"/>
  <c r="D16" i="20"/>
  <c r="F16" i="20" s="1"/>
  <c r="D19" i="20"/>
  <c r="E19" i="20" s="1"/>
  <c r="D10" i="20"/>
  <c r="E10" i="20" s="1"/>
  <c r="D13" i="20"/>
  <c r="E13" i="20" s="1"/>
  <c r="D11" i="20"/>
  <c r="E11" i="20" s="1"/>
  <c r="D15" i="20"/>
  <c r="E15" i="20" s="1"/>
  <c r="F11" i="20"/>
  <c r="F12" i="20"/>
  <c r="E12" i="20"/>
  <c r="F14" i="20"/>
  <c r="D12" i="19"/>
  <c r="F35" i="19" s="1"/>
  <c r="B21" i="19"/>
  <c r="H12" i="19"/>
  <c r="C21" i="19"/>
  <c r="F12" i="19"/>
  <c r="H10" i="19"/>
  <c r="B19" i="19"/>
  <c r="F10" i="19"/>
  <c r="C19" i="19"/>
  <c r="D10" i="19"/>
  <c r="E12" i="19"/>
  <c r="G35" i="19" s="1"/>
  <c r="E21" i="19"/>
  <c r="I12" i="19"/>
  <c r="G12" i="19"/>
  <c r="D21" i="19"/>
  <c r="F11" i="19"/>
  <c r="B20" i="19"/>
  <c r="C20" i="19"/>
  <c r="H11" i="19"/>
  <c r="E11" i="19"/>
  <c r="G34" i="19" s="1"/>
  <c r="E20" i="19"/>
  <c r="I11" i="19"/>
  <c r="D20" i="19"/>
  <c r="G11" i="19"/>
  <c r="D11" i="19"/>
  <c r="F34" i="19" s="1"/>
  <c r="C25" i="17"/>
  <c r="D25" i="17"/>
  <c r="E20" i="17"/>
  <c r="C33" i="17" s="1"/>
  <c r="D28" i="17"/>
  <c r="E17" i="17"/>
  <c r="D31" i="17"/>
  <c r="C30" i="17"/>
  <c r="D30" i="17"/>
  <c r="D24" i="17"/>
  <c r="D27" i="17"/>
  <c r="D33" i="17"/>
  <c r="D26" i="17"/>
  <c r="D32" i="17"/>
  <c r="D29" i="17"/>
  <c r="E17" i="12"/>
  <c r="G33" i="19"/>
  <c r="E11" i="21"/>
  <c r="E12" i="21"/>
  <c r="E31" i="21"/>
  <c r="E29" i="21"/>
  <c r="E36" i="21"/>
  <c r="E15" i="21"/>
  <c r="E30" i="21"/>
  <c r="E27" i="21"/>
  <c r="E32" i="21"/>
  <c r="E35" i="21"/>
  <c r="E34" i="21"/>
  <c r="F13" i="20" l="1"/>
  <c r="E14" i="23"/>
  <c r="F14" i="23" s="1"/>
  <c r="E13" i="23"/>
  <c r="F13" i="23" s="1"/>
  <c r="F10" i="20"/>
  <c r="F18" i="20"/>
  <c r="F19" i="20"/>
  <c r="E16" i="20"/>
  <c r="F15" i="20"/>
  <c r="F17" i="20"/>
  <c r="F33" i="1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<sst xmlns="http://schemas.openxmlformats.org/spreadsheetml/2006/main" count="1833" uniqueCount="753">
  <si>
    <t>Type</t>
  </si>
  <si>
    <t>X</t>
  </si>
  <si>
    <t>Y</t>
  </si>
  <si>
    <t>Z</t>
  </si>
  <si>
    <t>Min</t>
  </si>
  <si>
    <t>Max</t>
  </si>
  <si>
    <t>Evaluering af Flow</t>
  </si>
  <si>
    <t>Evaluering af Dp</t>
  </si>
  <si>
    <t>Kvs</t>
  </si>
  <si>
    <t>Eingabe    Q =</t>
  </si>
  <si>
    <t>Eingabe</t>
  </si>
  <si>
    <t xml:space="preserve">ACHTUNG !!   BITTE HIER NICHT DATEN ÄNDERN </t>
  </si>
  <si>
    <t>DN15 5-30 kPa</t>
  </si>
  <si>
    <t>DN15 20-60 kPa</t>
  </si>
  <si>
    <t>DN20 5-30 kPa</t>
  </si>
  <si>
    <t>DN20 20-60 kPa</t>
  </si>
  <si>
    <t>DN25 5-30 kPa</t>
  </si>
  <si>
    <t>DN32 20-80 kPa</t>
  </si>
  <si>
    <t>DN40 20-80 kPa</t>
  </si>
  <si>
    <t>DN50 20-80 kPa</t>
  </si>
  <si>
    <t>DN20 5-30kPa</t>
  </si>
  <si>
    <t>DN20 20-60kPa</t>
  </si>
  <si>
    <t>Dimension</t>
  </si>
  <si>
    <t>Input</t>
  </si>
  <si>
    <t>Number of turns</t>
  </si>
  <si>
    <t>∆Pv (kPa)</t>
  </si>
  <si>
    <t xml:space="preserve">Der Regelbereich ist definiert von Min. Pumpendruck (Min. ∆Pp) bis Max. Pumpendruck (Max.∆Pp) .   </t>
  </si>
  <si>
    <t>Min. ∆Pp (kPa)</t>
  </si>
  <si>
    <t>Input ∆Ps =</t>
  </si>
  <si>
    <t>50-600</t>
  </si>
  <si>
    <t>100-1000</t>
  </si>
  <si>
    <t>150-2000</t>
  </si>
  <si>
    <t>1000-5000</t>
  </si>
  <si>
    <t>3000-8000</t>
  </si>
  <si>
    <t>Dim.</t>
  </si>
  <si>
    <t xml:space="preserve">DN15 </t>
  </si>
  <si>
    <t>5-30 kPa</t>
  </si>
  <si>
    <t>20-60 kPa</t>
  </si>
  <si>
    <t>DN20</t>
  </si>
  <si>
    <t>DN25</t>
  </si>
  <si>
    <t>DN32</t>
  </si>
  <si>
    <t>DN40</t>
  </si>
  <si>
    <t>DN50</t>
  </si>
  <si>
    <t>20-80 kPa</t>
  </si>
  <si>
    <t>Flow (l/h)</t>
  </si>
  <si>
    <t>Input    Q =</t>
  </si>
  <si>
    <t>(kPa) Differential Pessure setting</t>
  </si>
  <si>
    <t>(l/h) Design flow</t>
  </si>
  <si>
    <t>∆Ps range</t>
  </si>
  <si>
    <t>Range</t>
  </si>
  <si>
    <t>Range ∆Pp (kPa)</t>
  </si>
  <si>
    <t>Pre-set</t>
  </si>
  <si>
    <t>Calculation of pressure loss</t>
  </si>
  <si>
    <t xml:space="preserve">Range ∆Pp is defined from Min. Pump pressure (Min. ∆Pp) to Max. Pump pressure (Max.∆Pp) .   </t>
  </si>
  <si>
    <t>QUICK - CALC Frese S</t>
  </si>
  <si>
    <t>Eingabe dP =</t>
  </si>
  <si>
    <t>(kPa) Differenzdruck am Ventil</t>
  </si>
  <si>
    <t>Input         Q =</t>
  </si>
  <si>
    <t>(l/h) Flow</t>
  </si>
  <si>
    <t>Calculation</t>
  </si>
  <si>
    <t>Kv</t>
  </si>
  <si>
    <t>Min. ∆P (kPa)</t>
  </si>
  <si>
    <t>16-400</t>
  </si>
  <si>
    <t xml:space="preserve">DN32 </t>
  </si>
  <si>
    <t>14-400</t>
  </si>
  <si>
    <t xml:space="preserve">DN40 </t>
  </si>
  <si>
    <t>15-400</t>
  </si>
  <si>
    <t xml:space="preserve">DN50 </t>
  </si>
  <si>
    <t>17-400</t>
  </si>
  <si>
    <t>Range ∆Pp(kPa)</t>
  </si>
  <si>
    <t>DN15 LF</t>
  </si>
  <si>
    <t>DN15 HF</t>
  </si>
  <si>
    <t>DN20 LF</t>
  </si>
  <si>
    <t>DN20 HF</t>
  </si>
  <si>
    <t>DN25 LF</t>
  </si>
  <si>
    <t>DN25 HF</t>
  </si>
  <si>
    <t>Auslegungsprogramm für Frese S Dynamischer Volumenstromregler</t>
  </si>
  <si>
    <t>Input Q =</t>
  </si>
  <si>
    <t>(l/h) Auslegungsvolumenstrom</t>
  </si>
  <si>
    <t xml:space="preserve">(L/h)  Auslegungsvolumenstrom </t>
  </si>
  <si>
    <t>Flow range (l/h)</t>
  </si>
  <si>
    <t>∆Pp range (kPa)</t>
  </si>
  <si>
    <t>∆Ps range (kPa)</t>
  </si>
  <si>
    <t>5-30</t>
  </si>
  <si>
    <t>20-80</t>
  </si>
  <si>
    <t>5000-10350</t>
  </si>
  <si>
    <t>DN15    5-30kPa</t>
  </si>
  <si>
    <t>DN20    5-30 kPa</t>
  </si>
  <si>
    <t>DN25    5-30kPa</t>
  </si>
  <si>
    <t>DN32    20-80kPa</t>
  </si>
  <si>
    <t>DN40    20-80kPa</t>
  </si>
  <si>
    <t>DN50    20-80kPa</t>
  </si>
  <si>
    <t>DN15    20-60kPa</t>
  </si>
  <si>
    <t>20-60</t>
  </si>
  <si>
    <t>DN10 Low 2,5</t>
  </si>
  <si>
    <t>DN10 Low 5,0</t>
  </si>
  <si>
    <t>DN15 Low 2,5</t>
  </si>
  <si>
    <t>DN15 Low 5,0</t>
  </si>
  <si>
    <t>DN15 High 2,5</t>
  </si>
  <si>
    <t>DN20 High 2,5</t>
  </si>
  <si>
    <t>DN20 High 4,0</t>
  </si>
  <si>
    <t>DN20 High 5,0</t>
  </si>
  <si>
    <t xml:space="preserve">Range ∆Pp is defined from Min. Pump pressure (Min. ∆Pp) to Max. Pump pressure (Max.∆Pp) .    </t>
  </si>
  <si>
    <t>49-44262</t>
  </si>
  <si>
    <t>50-44262</t>
  </si>
  <si>
    <t>49-44250</t>
  </si>
  <si>
    <t>50-44250</t>
  </si>
  <si>
    <t>49-44248</t>
  </si>
  <si>
    <t>50-44248</t>
  </si>
  <si>
    <t>49-44241</t>
  </si>
  <si>
    <t>50-44241</t>
  </si>
  <si>
    <t>49-44235</t>
  </si>
  <si>
    <t>50-44235</t>
  </si>
  <si>
    <t>49-44229</t>
  </si>
  <si>
    <t>50-44229</t>
  </si>
  <si>
    <t>49-44222</t>
  </si>
  <si>
    <t>50-44222</t>
  </si>
  <si>
    <t>49-21090</t>
  </si>
  <si>
    <t>50-21090</t>
  </si>
  <si>
    <t>49-44217</t>
  </si>
  <si>
    <t>50-44217</t>
  </si>
  <si>
    <t>49-21060</t>
  </si>
  <si>
    <t>50-21060</t>
  </si>
  <si>
    <t>49-44211</t>
  </si>
  <si>
    <t>50-44211</t>
  </si>
  <si>
    <t>49-21030</t>
  </si>
  <si>
    <t>50-21030</t>
  </si>
  <si>
    <t>49-44205</t>
  </si>
  <si>
    <t>50-44205</t>
  </si>
  <si>
    <t>49-20990</t>
  </si>
  <si>
    <t>50-20990</t>
  </si>
  <si>
    <t>49-44200</t>
  </si>
  <si>
    <t>50-44200</t>
  </si>
  <si>
    <t>49-20940</t>
  </si>
  <si>
    <t>50-20940</t>
  </si>
  <si>
    <t>49-44194</t>
  </si>
  <si>
    <t>50-44194</t>
  </si>
  <si>
    <t>49-20920</t>
  </si>
  <si>
    <t>50-20920</t>
  </si>
  <si>
    <t>49-44191</t>
  </si>
  <si>
    <t>50-44191</t>
  </si>
  <si>
    <t>49-20880</t>
  </si>
  <si>
    <t>50-20880</t>
  </si>
  <si>
    <t>49-44182</t>
  </si>
  <si>
    <t>50-44182</t>
  </si>
  <si>
    <t>49-20860</t>
  </si>
  <si>
    <t>50-20860</t>
  </si>
  <si>
    <t>49-44176</t>
  </si>
  <si>
    <t>50-44176</t>
  </si>
  <si>
    <t>49-20820</t>
  </si>
  <si>
    <t>50-20820</t>
  </si>
  <si>
    <t>49-44173</t>
  </si>
  <si>
    <t>50-44173</t>
  </si>
  <si>
    <t>49-20770</t>
  </si>
  <si>
    <t>50-20770</t>
  </si>
  <si>
    <t>49-44168</t>
  </si>
  <si>
    <t>50-44168</t>
  </si>
  <si>
    <t>49-20740</t>
  </si>
  <si>
    <t>50-20740</t>
  </si>
  <si>
    <t>49-44164</t>
  </si>
  <si>
    <t>50-44164</t>
  </si>
  <si>
    <t>49-20700</t>
  </si>
  <si>
    <t>50-20700</t>
  </si>
  <si>
    <t>49-44156</t>
  </si>
  <si>
    <t>50-44156</t>
  </si>
  <si>
    <t>49-11750</t>
  </si>
  <si>
    <t>50-11750</t>
  </si>
  <si>
    <t>49-44152</t>
  </si>
  <si>
    <t>50-44152</t>
  </si>
  <si>
    <t>49-11745</t>
  </si>
  <si>
    <t>50-11745</t>
  </si>
  <si>
    <t>49-44148</t>
  </si>
  <si>
    <t>50-44148</t>
  </si>
  <si>
    <t>49-11740</t>
  </si>
  <si>
    <t>50-11740</t>
  </si>
  <si>
    <t>49-33163</t>
  </si>
  <si>
    <t>50-33163</t>
  </si>
  <si>
    <t>49-11735</t>
  </si>
  <si>
    <t>50-11735</t>
  </si>
  <si>
    <t>49-33161</t>
  </si>
  <si>
    <t>50-33161</t>
  </si>
  <si>
    <t>49-11730</t>
  </si>
  <si>
    <t>50-11730</t>
  </si>
  <si>
    <t>49-33156</t>
  </si>
  <si>
    <t>50-33156</t>
  </si>
  <si>
    <t>49-11725</t>
  </si>
  <si>
    <t>50-11725</t>
  </si>
  <si>
    <t>49-33148</t>
  </si>
  <si>
    <t>50-33148</t>
  </si>
  <si>
    <t>49-11620</t>
  </si>
  <si>
    <t>50-11620</t>
  </si>
  <si>
    <t>49-33142</t>
  </si>
  <si>
    <t>50-33142</t>
  </si>
  <si>
    <t>49-11570</t>
  </si>
  <si>
    <t>50-11570</t>
  </si>
  <si>
    <t>49-33138</t>
  </si>
  <si>
    <t>50-33138</t>
  </si>
  <si>
    <t>49-11540</t>
  </si>
  <si>
    <t>50-11540</t>
  </si>
  <si>
    <t>49-33135</t>
  </si>
  <si>
    <t>50-33135</t>
  </si>
  <si>
    <t>49-11510</t>
  </si>
  <si>
    <t>50-11510</t>
  </si>
  <si>
    <t>49-33132</t>
  </si>
  <si>
    <t>50-33132</t>
  </si>
  <si>
    <t>49-11490</t>
  </si>
  <si>
    <t>50-11490</t>
  </si>
  <si>
    <t>49-33129</t>
  </si>
  <si>
    <t>50-33129</t>
  </si>
  <si>
    <t>49-11460</t>
  </si>
  <si>
    <t>50-11460</t>
  </si>
  <si>
    <t>49-33125</t>
  </si>
  <si>
    <t>50-33125</t>
  </si>
  <si>
    <t>49-11430</t>
  </si>
  <si>
    <t>50-11430</t>
  </si>
  <si>
    <t>49-33124</t>
  </si>
  <si>
    <t>50-33124</t>
  </si>
  <si>
    <t>49-11400</t>
  </si>
  <si>
    <t>50-11400</t>
  </si>
  <si>
    <t>49-33118</t>
  </si>
  <si>
    <t>50-33118</t>
  </si>
  <si>
    <t>49-11370</t>
  </si>
  <si>
    <t>50-11370</t>
  </si>
  <si>
    <t>49-33112</t>
  </si>
  <si>
    <t>50-33112</t>
  </si>
  <si>
    <t>49-11350</t>
  </si>
  <si>
    <t>50-11350</t>
  </si>
  <si>
    <t>49-33111</t>
  </si>
  <si>
    <t>50-33111</t>
  </si>
  <si>
    <t>49-11320</t>
  </si>
  <si>
    <t>50-11320</t>
  </si>
  <si>
    <t>49-33107</t>
  </si>
  <si>
    <t>50-33107</t>
  </si>
  <si>
    <t>49-11300</t>
  </si>
  <si>
    <t>50-11300</t>
  </si>
  <si>
    <t>49-33102</t>
  </si>
  <si>
    <t>50-33102</t>
  </si>
  <si>
    <t>49-11290</t>
  </si>
  <si>
    <t>50-11290</t>
  </si>
  <si>
    <t>49-33098</t>
  </si>
  <si>
    <t>50-33098</t>
  </si>
  <si>
    <t>49-11260</t>
  </si>
  <si>
    <t>50-11260</t>
  </si>
  <si>
    <t>49-33096</t>
  </si>
  <si>
    <t>50-33096</t>
  </si>
  <si>
    <t>49-11230</t>
  </si>
  <si>
    <t>50-11230</t>
  </si>
  <si>
    <t>49-33094</t>
  </si>
  <si>
    <t>50-33094</t>
  </si>
  <si>
    <t>49-11210</t>
  </si>
  <si>
    <t>50-11210</t>
  </si>
  <si>
    <t>49-33089</t>
  </si>
  <si>
    <t>50-33089</t>
  </si>
  <si>
    <t>N/A</t>
  </si>
  <si>
    <t>50-11190</t>
  </si>
  <si>
    <t>49-33082</t>
  </si>
  <si>
    <t>50-33082</t>
  </si>
  <si>
    <t>50-11170</t>
  </si>
  <si>
    <t>49-33073</t>
  </si>
  <si>
    <t>50-33073</t>
  </si>
  <si>
    <t>50-11150</t>
  </si>
  <si>
    <t>HP</t>
  </si>
  <si>
    <t>LP</t>
  </si>
  <si>
    <t>DP</t>
  </si>
  <si>
    <t>Der Regelbereich = S ….</t>
  </si>
  <si>
    <t>Vare nr.</t>
  </si>
  <si>
    <t>L/h</t>
  </si>
  <si>
    <t>Grosser</t>
  </si>
  <si>
    <t>Kleiner</t>
  </si>
  <si>
    <t>Gehäuse sind mit Stopfen, Druckmessnippel oder Füll- und Entleerungskugelhahn</t>
  </si>
  <si>
    <t>DN25L-DN50</t>
  </si>
  <si>
    <t>DN15-DN25</t>
  </si>
  <si>
    <t>49-9061</t>
  </si>
  <si>
    <t>49-9064</t>
  </si>
  <si>
    <t>49-9066</t>
  </si>
  <si>
    <t>674-11355</t>
  </si>
  <si>
    <t>49-9051</t>
  </si>
  <si>
    <t>49-9054</t>
  </si>
  <si>
    <t>49-9056</t>
  </si>
  <si>
    <t>49-9041</t>
  </si>
  <si>
    <t>49-9044</t>
  </si>
  <si>
    <t>49-9046</t>
  </si>
  <si>
    <t>49-9031</t>
  </si>
  <si>
    <t>49-9034</t>
  </si>
  <si>
    <t>49-9036</t>
  </si>
  <si>
    <t>25L</t>
  </si>
  <si>
    <t>49-9021</t>
  </si>
  <si>
    <t>49-9024</t>
  </si>
  <si>
    <t>49-9026</t>
  </si>
  <si>
    <t>25-2448</t>
  </si>
  <si>
    <t>49-9011</t>
  </si>
  <si>
    <t>49-9014</t>
  </si>
  <si>
    <t>49-9016</t>
  </si>
  <si>
    <t>49-9001</t>
  </si>
  <si>
    <t>49-9004</t>
  </si>
  <si>
    <t>49-9006</t>
  </si>
  <si>
    <t>IG/IG</t>
  </si>
  <si>
    <t>bis 6,0 bar</t>
  </si>
  <si>
    <t>bis 3,5 bar</t>
  </si>
  <si>
    <t>kPa</t>
  </si>
  <si>
    <t>DN</t>
  </si>
  <si>
    <t>Alpha DM</t>
  </si>
  <si>
    <t>Alpha FE</t>
  </si>
  <si>
    <t>Alpha S</t>
  </si>
  <si>
    <t>HP-Einsatz</t>
  </si>
  <si>
    <t>LP-Einsatz</t>
  </si>
  <si>
    <t>Strom</t>
  </si>
  <si>
    <t xml:space="preserve">Bereich </t>
  </si>
  <si>
    <t>Art.-Nr.</t>
  </si>
  <si>
    <t xml:space="preserve">Min. ΔP </t>
  </si>
  <si>
    <t>Vol.-</t>
  </si>
  <si>
    <t>Ventil</t>
  </si>
  <si>
    <t>Alpha Ventilgehäuse Modell</t>
  </si>
  <si>
    <t>Berechnung nächst größer Volumenstrom</t>
  </si>
  <si>
    <t>Berechnung nächst kleiner Volumenstrom</t>
  </si>
  <si>
    <t>Alpha Regler</t>
  </si>
  <si>
    <t>l/h</t>
  </si>
  <si>
    <t>Flow</t>
  </si>
  <si>
    <t>ALPHA</t>
  </si>
  <si>
    <t>12-600</t>
  </si>
  <si>
    <t xml:space="preserve">7-600 </t>
  </si>
  <si>
    <t>HP High Press.</t>
  </si>
  <si>
    <t>12-350</t>
  </si>
  <si>
    <t xml:space="preserve">7-350 </t>
  </si>
  <si>
    <t>LP Low Press.</t>
  </si>
  <si>
    <t>DN25L-50</t>
  </si>
  <si>
    <t>DN15-25</t>
  </si>
  <si>
    <t>Quick - CALC Frese ALPHA</t>
  </si>
  <si>
    <t>Einsatz</t>
  </si>
  <si>
    <t>m³/h Flow</t>
  </si>
  <si>
    <t>m³/h</t>
  </si>
  <si>
    <t>AISI 304</t>
  </si>
  <si>
    <t>Berechnungen  Nächst kleiner Volumenstrom :</t>
  </si>
  <si>
    <t>Berechnungen  Nächst größer Volumenstrom :</t>
  </si>
  <si>
    <t>Vol.-Ber.</t>
  </si>
  <si>
    <t>Anzahl</t>
  </si>
  <si>
    <t>Vol.-Str</t>
  </si>
  <si>
    <t xml:space="preserve">Min ΔP </t>
  </si>
  <si>
    <t>Vol.-Strom</t>
  </si>
  <si>
    <t>Ist/Soll</t>
  </si>
  <si>
    <t>Anz</t>
  </si>
  <si>
    <t>Rest</t>
  </si>
  <si>
    <t>Einsätze</t>
  </si>
  <si>
    <t>Abw.</t>
  </si>
  <si>
    <t>Eins</t>
  </si>
  <si>
    <t>Regler Komplett</t>
  </si>
  <si>
    <t xml:space="preserve">   Regler Komplett</t>
  </si>
  <si>
    <t>Eins.</t>
  </si>
  <si>
    <t>'=((SVERWEIS(($D$5/$C17);$D$40:$F$84;1)*C17))</t>
  </si>
  <si>
    <t>Flow &gt;</t>
  </si>
  <si>
    <t>=((SVERWEIS(($D$5/$C22);$C$38:$I$81;1)*(C22-1)))</t>
  </si>
  <si>
    <t>'=WENN($D$5/$C23&lt;3,8;SVERWEIS(($D$5/$C22);$D$40:$F$84;1);SVERWEIS(($D$5/$C23);$D$40:$F$84;1))</t>
  </si>
  <si>
    <t>Korrektion til slut :</t>
  </si>
  <si>
    <t>'=WENN($D$5/$C24&lt;3,8;D23;SVERWEIS(($D$5/$C24);$D$40:$F$84;1))</t>
  </si>
  <si>
    <t>Spalte D:H Min el slettes</t>
  </si>
  <si>
    <t>DN50-DN800</t>
  </si>
  <si>
    <t>WENN(Prüfung;Dann_Wert; WENN(Prüfung;Dann_Wert;Sonst_Wert))</t>
  </si>
  <si>
    <t>SVERWEIS(Suchkriterium;Matrix;Spalteindex;Bereich_Verweis)</t>
  </si>
  <si>
    <t>D</t>
  </si>
  <si>
    <t>52-55179</t>
  </si>
  <si>
    <t>E</t>
  </si>
  <si>
    <t>'=SVERWEIS(($D$5/$C17);$D$40:$F$84;2)</t>
  </si>
  <si>
    <t>52-55184</t>
  </si>
  <si>
    <t>F</t>
  </si>
  <si>
    <t>'=SVERWEIS(($D$5/$C17);$D$40:$F$84;3)</t>
  </si>
  <si>
    <t>52-55189</t>
  </si>
  <si>
    <t>G</t>
  </si>
  <si>
    <t>'=SVERWEIS(($D$5/$C17);$D$40:$F$84;1)</t>
  </si>
  <si>
    <t>52-55194</t>
  </si>
  <si>
    <t>52-55200</t>
  </si>
  <si>
    <t>52-55206</t>
  </si>
  <si>
    <t>WENN(O23&lt;0;</t>
  </si>
  <si>
    <t>52-55213</t>
  </si>
  <si>
    <t>52-55220</t>
  </si>
  <si>
    <t>52-55227</t>
  </si>
  <si>
    <t>Art.-Nr. Gehäuse</t>
  </si>
  <si>
    <t>52-55235</t>
  </si>
  <si>
    <t xml:space="preserve">       49-9073-01</t>
  </si>
  <si>
    <t>52-55243</t>
  </si>
  <si>
    <t xml:space="preserve">       49-9083-01</t>
  </si>
  <si>
    <t>52-55251</t>
  </si>
  <si>
    <t xml:space="preserve">       49-9093-01</t>
  </si>
  <si>
    <t>52-55260</t>
  </si>
  <si>
    <t xml:space="preserve">       49-9103-01</t>
  </si>
  <si>
    <t>52-55269</t>
  </si>
  <si>
    <t xml:space="preserve">       49-9163-01</t>
  </si>
  <si>
    <t>52-55279</t>
  </si>
  <si>
    <t xml:space="preserve">       49-9113-01</t>
  </si>
  <si>
    <t>52-55287</t>
  </si>
  <si>
    <t xml:space="preserve">       49-9123-01</t>
  </si>
  <si>
    <t>52-55292</t>
  </si>
  <si>
    <t xml:space="preserve">       49-9133-01</t>
  </si>
  <si>
    <t>52-55298</t>
  </si>
  <si>
    <t xml:space="preserve">       49-9143-01</t>
  </si>
  <si>
    <t>52-55303</t>
  </si>
  <si>
    <t xml:space="preserve">       49-9153-01</t>
  </si>
  <si>
    <t>52-55308</t>
  </si>
  <si>
    <t xml:space="preserve">       49-9173-01</t>
  </si>
  <si>
    <t>52-66285</t>
  </si>
  <si>
    <t xml:space="preserve">       49-9183-01</t>
  </si>
  <si>
    <t>52-66292</t>
  </si>
  <si>
    <t xml:space="preserve">       49-9193-01</t>
  </si>
  <si>
    <t>52-66301</t>
  </si>
  <si>
    <t xml:space="preserve">       49-9203-01</t>
  </si>
  <si>
    <t>52-66305</t>
  </si>
  <si>
    <t xml:space="preserve">       49-9213-01</t>
  </si>
  <si>
    <t>52-66312</t>
  </si>
  <si>
    <t>52-66319</t>
  </si>
  <si>
    <t>52-66326</t>
  </si>
  <si>
    <t>52-66332</t>
  </si>
  <si>
    <t>52-66338</t>
  </si>
  <si>
    <t>52-66344</t>
  </si>
  <si>
    <t>52-66349</t>
  </si>
  <si>
    <t>52-66356</t>
  </si>
  <si>
    <t>52-66362</t>
  </si>
  <si>
    <t>52-66367</t>
  </si>
  <si>
    <t>52-66373</t>
  </si>
  <si>
    <t>52-66379</t>
  </si>
  <si>
    <t>52-66385</t>
  </si>
  <si>
    <t>52-66391</t>
  </si>
  <si>
    <t>52-66393</t>
  </si>
  <si>
    <t>52-66398</t>
  </si>
  <si>
    <t>52-66400</t>
  </si>
  <si>
    <t>52-66407</t>
  </si>
  <si>
    <t>52-66407H</t>
  </si>
  <si>
    <t>with selected Valve dimension (DN)</t>
  </si>
  <si>
    <t>Item no.</t>
  </si>
  <si>
    <t>Deviation</t>
  </si>
  <si>
    <t>Nearest higher Flow</t>
  </si>
  <si>
    <t>Nearest lower Flow</t>
  </si>
  <si>
    <t>Plugs</t>
  </si>
  <si>
    <t>ΔP range (kPa)</t>
  </si>
  <si>
    <t>Input DN =</t>
  </si>
  <si>
    <t>ALPHA Valve</t>
  </si>
  <si>
    <t>Valve</t>
  </si>
  <si>
    <t>range</t>
  </si>
  <si>
    <t>Cartridge Type HP (High Pressure)</t>
  </si>
  <si>
    <t>ΔP range:  13 - 600 kPa</t>
  </si>
  <si>
    <t>Dimension Valve house DN</t>
  </si>
  <si>
    <t>Item no. Valve house</t>
  </si>
  <si>
    <t>Qty</t>
  </si>
  <si>
    <t>CARTRIDGE SELECTION</t>
  </si>
  <si>
    <t>Cartriges</t>
  </si>
  <si>
    <t>Cartridges</t>
  </si>
  <si>
    <t>Drain Valve</t>
  </si>
  <si>
    <t>P/T-Plugs</t>
  </si>
  <si>
    <t>30-200</t>
  </si>
  <si>
    <t>65-370</t>
  </si>
  <si>
    <t>100-575</t>
  </si>
  <si>
    <t>160-990</t>
  </si>
  <si>
    <t>220-1330</t>
  </si>
  <si>
    <t>(m3/h) Flow</t>
  </si>
  <si>
    <t>Flow (m3/h)</t>
  </si>
  <si>
    <t>5-450</t>
  </si>
  <si>
    <t>20-450</t>
  </si>
  <si>
    <t>QUICK - CALC Frese PV Compact</t>
  </si>
  <si>
    <t>600-3609</t>
  </si>
  <si>
    <t>550-4001</t>
  </si>
  <si>
    <t>DN15 High 5,0</t>
  </si>
  <si>
    <t>Flow cooling</t>
  </si>
  <si>
    <t>Flow heating</t>
  </si>
  <si>
    <t>Flow l/h</t>
  </si>
  <si>
    <t>Calculation cooling</t>
  </si>
  <si>
    <t>Calculation heating</t>
  </si>
  <si>
    <t>1370-9500</t>
  </si>
  <si>
    <t>1400-11500</t>
  </si>
  <si>
    <t>10-400</t>
  </si>
  <si>
    <t>DN25 20-80 kPa</t>
  </si>
  <si>
    <t>750-4200</t>
  </si>
  <si>
    <t>18.5-110.0</t>
  </si>
  <si>
    <t>23.0-135.0</t>
  </si>
  <si>
    <t>60-1080</t>
  </si>
  <si>
    <t>102-1930</t>
  </si>
  <si>
    <t>719-7400</t>
  </si>
  <si>
    <t>900-10350</t>
  </si>
  <si>
    <t>25.6-148.0</t>
  </si>
  <si>
    <t>32.0-195.0</t>
  </si>
  <si>
    <t>40-900</t>
  </si>
  <si>
    <t>86-1550</t>
  </si>
  <si>
    <t>200-5000</t>
  </si>
  <si>
    <t>9-400</t>
  </si>
  <si>
    <t>DN15 Low</t>
  </si>
  <si>
    <t>DN15 High</t>
  </si>
  <si>
    <t>DN20 Low</t>
  </si>
  <si>
    <t>DN20 High</t>
  </si>
  <si>
    <t>5000-11500</t>
  </si>
  <si>
    <t>DN20 High 5,5</t>
  </si>
  <si>
    <t>DN25 Low 5,5</t>
  </si>
  <si>
    <t>DN25L High 5,5</t>
  </si>
  <si>
    <t>300-1800</t>
  </si>
  <si>
    <t>280-1800</t>
  </si>
  <si>
    <t>DN25 Low</t>
  </si>
  <si>
    <t>DN25 High</t>
  </si>
  <si>
    <t>137-2400</t>
  </si>
  <si>
    <t>600-2100</t>
  </si>
  <si>
    <t>PV-SIGMA System</t>
  </si>
  <si>
    <t>∆P-PV (kPa)</t>
  </si>
  <si>
    <t>7-450</t>
  </si>
  <si>
    <t>22-450</t>
  </si>
  <si>
    <t>22-400</t>
  </si>
  <si>
    <t>DN20    20-60 kPa</t>
  </si>
  <si>
    <t>150-1930</t>
  </si>
  <si>
    <t>DN25    20-80kPa</t>
  </si>
  <si>
    <t>750-2400</t>
  </si>
  <si>
    <t>3000-7400</t>
  </si>
  <si>
    <t>X (min Kpa)</t>
  </si>
  <si>
    <t>Y (Flow/Omdr)</t>
  </si>
  <si>
    <t>Z (Omdr/kpa)</t>
  </si>
  <si>
    <t>PV Compact (Return)</t>
  </si>
  <si>
    <t>Pre-set PV Compact</t>
  </si>
  <si>
    <t>SIGMA Compact  (Supply)</t>
  </si>
  <si>
    <t>Pre-set SIGMA Compact</t>
  </si>
  <si>
    <t>Total pressure loss</t>
  </si>
  <si>
    <t>Dim.    ∆Ps Range</t>
  </si>
  <si>
    <t>PV Compact  ∆P - Controller</t>
  </si>
  <si>
    <t>SIGMA Compact Flow Controller</t>
  </si>
  <si>
    <t>PV-SIGMA Compact System ∆P &amp; Flow controller</t>
  </si>
  <si>
    <t>(kPa) Differential pressure in system</t>
  </si>
  <si>
    <t>(l/h) Design flow in system</t>
  </si>
  <si>
    <t>7-800</t>
  </si>
  <si>
    <t>19-800</t>
  </si>
  <si>
    <t>15-800</t>
  </si>
  <si>
    <t>30-800</t>
  </si>
  <si>
    <t>16-800</t>
  </si>
  <si>
    <t>23-800</t>
  </si>
  <si>
    <t>20-800</t>
  </si>
  <si>
    <t>27-800</t>
  </si>
  <si>
    <t>21-800</t>
  </si>
  <si>
    <t>33-800</t>
  </si>
  <si>
    <t>31-800</t>
  </si>
  <si>
    <t>11-800</t>
  </si>
  <si>
    <t>14-800</t>
  </si>
  <si>
    <t>18-800</t>
  </si>
  <si>
    <t>17-800</t>
  </si>
  <si>
    <t>10-800</t>
  </si>
  <si>
    <t>95.0-210.0</t>
  </si>
  <si>
    <t>130.0-280.0</t>
  </si>
  <si>
    <t>190.0-475.0</t>
  </si>
  <si>
    <t>245.0-600.0</t>
  </si>
  <si>
    <t>2.48-15.00</t>
  </si>
  <si>
    <t>3.92-24.00</t>
  </si>
  <si>
    <t>4.38-25.00</t>
  </si>
  <si>
    <t>5.95-35.00</t>
  </si>
  <si>
    <t>5.34-34.00</t>
  </si>
  <si>
    <t>7.02-43.00</t>
  </si>
  <si>
    <t>12.10-68.00</t>
  </si>
  <si>
    <t>14.80-90.00</t>
  </si>
  <si>
    <t>DN25L 5,5</t>
  </si>
  <si>
    <t>18-600</t>
  </si>
  <si>
    <t>16-600</t>
  </si>
  <si>
    <t>14-600</t>
  </si>
  <si>
    <t>DN 20 High 5,5</t>
  </si>
  <si>
    <t>OPTIMA Compact</t>
  </si>
  <si>
    <t>Total OPTIMIZER</t>
  </si>
  <si>
    <t>95-2000</t>
  </si>
  <si>
    <t>DN25L</t>
  </si>
  <si>
    <t>DN25L (53-2204 withdrawn)</t>
  </si>
  <si>
    <t>DN15</t>
  </si>
  <si>
    <t>210 - 1200</t>
  </si>
  <si>
    <t>460 - 4250</t>
  </si>
  <si>
    <t>4 - 400</t>
  </si>
  <si>
    <t>15 - 400</t>
  </si>
  <si>
    <t>Cooling</t>
  </si>
  <si>
    <t>Heating</t>
  </si>
  <si>
    <t>Calculation Pre-set</t>
  </si>
  <si>
    <t>Pre-set scale</t>
  </si>
  <si>
    <t>Modbus Value  = 10 x Preset scale</t>
  </si>
  <si>
    <t>Bacnet Value = 1 x Preset Scale</t>
  </si>
  <si>
    <t>Voltage preset
0-10V</t>
  </si>
  <si>
    <t>Current preset
4-20mA</t>
  </si>
  <si>
    <t>Analog Pre-set</t>
  </si>
  <si>
    <t>Evaluering Flow</t>
  </si>
  <si>
    <t>Calculation minimum diff. Pressure</t>
  </si>
  <si>
    <t>3,8 - 6120</t>
  </si>
  <si>
    <t>3,8 - 5040</t>
  </si>
  <si>
    <t>3,8 - 45</t>
  </si>
  <si>
    <t>3,8 - 90</t>
  </si>
  <si>
    <t>3,8 - 135</t>
  </si>
  <si>
    <t>3,8 - 180</t>
  </si>
  <si>
    <t>3,8 - 315</t>
  </si>
  <si>
    <t>3,8 - 540</t>
  </si>
  <si>
    <t>3,8 - 675</t>
  </si>
  <si>
    <t>3,8 - 855</t>
  </si>
  <si>
    <t>3,8 - 1170</t>
  </si>
  <si>
    <t>3,8 - 1485</t>
  </si>
  <si>
    <t>3,8 - 1800</t>
  </si>
  <si>
    <t>3,8 - 2520</t>
  </si>
  <si>
    <t>3,8 - 3825</t>
  </si>
  <si>
    <t xml:space="preserve">       49-9233-01</t>
  </si>
  <si>
    <t xml:space="preserve">       49-9223-01</t>
  </si>
  <si>
    <t>with selected Valve dimension</t>
  </si>
  <si>
    <t>DN50 Ultra 20-80 kPa</t>
  </si>
  <si>
    <t>DN50 Ultra</t>
  </si>
  <si>
    <t>3200-13000</t>
  </si>
  <si>
    <t>Flow/omdr</t>
  </si>
  <si>
    <t>DP/omdr</t>
  </si>
  <si>
    <t>Offset</t>
  </si>
  <si>
    <t>4.20-24.00</t>
  </si>
  <si>
    <t>DN20 High 4,0 *</t>
  </si>
  <si>
    <t>*) Not standard product</t>
  </si>
  <si>
    <t>Dimension &amp; Type</t>
  </si>
  <si>
    <t>DN50 Standard High Flow</t>
  </si>
  <si>
    <t>DN50 Standard Low Flow</t>
  </si>
  <si>
    <t>DN50 Ultra High Flow</t>
  </si>
  <si>
    <t>DN65 Ultra Low Flow</t>
  </si>
  <si>
    <t>DN65 Ultra High Flow</t>
  </si>
  <si>
    <t>DN80 Ultra Low Flow</t>
  </si>
  <si>
    <t>DN80 Ultra High Flow</t>
  </si>
  <si>
    <t>DN65 Standard Low Flow</t>
  </si>
  <si>
    <t>DN65 Standard High Flow</t>
  </si>
  <si>
    <t>DN80 Standard Low Flow</t>
  </si>
  <si>
    <t>DN80 Standard High Flow</t>
  </si>
  <si>
    <t>DN100 Ultra Low Flow</t>
  </si>
  <si>
    <t>DN100 Ultra High Flow</t>
  </si>
  <si>
    <t>DN100 Standard Low Flow</t>
  </si>
  <si>
    <t>DN100 Standard High Flow</t>
  </si>
  <si>
    <t>DN125 Ultra Low Flow</t>
  </si>
  <si>
    <t>DN125 Ultra High Flow</t>
  </si>
  <si>
    <t>DN125 Standard Low Flow</t>
  </si>
  <si>
    <t>DN125 Standard High Flow</t>
  </si>
  <si>
    <t>DN150 Standard Low Flow</t>
  </si>
  <si>
    <t>DN150 Standard High Flow</t>
  </si>
  <si>
    <t>DN200 Standard Low Flow</t>
  </si>
  <si>
    <t>DN200 Standard High Flow</t>
  </si>
  <si>
    <t>DN250 Standard Low Flow</t>
  </si>
  <si>
    <t>DN250 Standard High Flow</t>
  </si>
  <si>
    <t>DN300 Standard Low Flow</t>
  </si>
  <si>
    <t>DN300 Standard High Flow</t>
  </si>
  <si>
    <t>1.40-11.50</t>
  </si>
  <si>
    <t>1.40-11.5</t>
  </si>
  <si>
    <t>2.50-15.0</t>
  </si>
  <si>
    <t>3.90-24.0</t>
  </si>
  <si>
    <t>3.00-16.0</t>
  </si>
  <si>
    <t>4.20-24.0</t>
  </si>
  <si>
    <t>4.40-25.0</t>
  </si>
  <si>
    <t>6.00-35.0</t>
  </si>
  <si>
    <t>5.30-34.0</t>
  </si>
  <si>
    <t>7.00-43.0</t>
  </si>
  <si>
    <t>12.1-68.0</t>
  </si>
  <si>
    <t>14.8-90.0</t>
  </si>
  <si>
    <t>18.5-110</t>
  </si>
  <si>
    <t>23.0-135</t>
  </si>
  <si>
    <t>25.6-148</t>
  </si>
  <si>
    <t>32.0-195</t>
  </si>
  <si>
    <t>95.0-210</t>
  </si>
  <si>
    <t>130-280</t>
  </si>
  <si>
    <t>190-475</t>
  </si>
  <si>
    <t>245-600</t>
  </si>
  <si>
    <t>DN 15</t>
  </si>
  <si>
    <t>KV signal</t>
  </si>
  <si>
    <t>KV total</t>
  </si>
  <si>
    <t>Einstellung</t>
  </si>
  <si>
    <t>DN65</t>
  </si>
  <si>
    <t>DN80</t>
  </si>
  <si>
    <t>DN100</t>
  </si>
  <si>
    <t>DN125</t>
  </si>
  <si>
    <t>DN150</t>
  </si>
  <si>
    <t>DN200</t>
  </si>
  <si>
    <t>DN250</t>
  </si>
  <si>
    <t>DN300</t>
  </si>
  <si>
    <t>DN350</t>
  </si>
  <si>
    <t>DN400</t>
  </si>
  <si>
    <t>DN450</t>
  </si>
  <si>
    <t>DN500</t>
  </si>
  <si>
    <t>KV</t>
  </si>
  <si>
    <t>QUICK - CALC Frese STBV, VODRV</t>
  </si>
  <si>
    <t>Input Q:</t>
  </si>
  <si>
    <t>Measured diff. Pressure</t>
  </si>
  <si>
    <t xml:space="preserve">Kv Signal: (Required) </t>
  </si>
  <si>
    <t>(kPa) ∆P Signal (For flow measurement)</t>
  </si>
  <si>
    <t>KV signal 
(Fully open valve)</t>
  </si>
  <si>
    <t>KV 
Total valve</t>
  </si>
  <si>
    <t>Pressureloss (kPa)
Total valve
(For pump dimensioning)</t>
  </si>
  <si>
    <t>(kPa) Total valve</t>
  </si>
  <si>
    <t xml:space="preserve">Kv: (Required) </t>
  </si>
  <si>
    <t>KV 
(Fully open valve)</t>
  </si>
  <si>
    <t>QUICK - CALC Frese STBV, VODRV Flanged</t>
  </si>
  <si>
    <t>QUICK - CALC OPTIMA Compact &amp; OPTIMA Compact Veriflow</t>
  </si>
  <si>
    <t>Preset</t>
  </si>
  <si>
    <t>QUICK - CONTROL OPTIMA Compact Veriflow</t>
  </si>
  <si>
    <t>Flow Commissioning program</t>
  </si>
  <si>
    <t>∆P  measured =</t>
  </si>
  <si>
    <t>kPa (PT plug in position Q)</t>
  </si>
  <si>
    <t>Pre-set =</t>
  </si>
  <si>
    <t>Verification</t>
  </si>
  <si>
    <t>Veriflow Low 2,5 DN10/15</t>
  </si>
  <si>
    <t>Veriflow Low 5,0 DN10/15</t>
  </si>
  <si>
    <t>Veriflow High 2,5 DN15/20</t>
  </si>
  <si>
    <t>Veriflow High 5,0 DN15/20</t>
  </si>
  <si>
    <t>Veriflow Low 5,5 DN25</t>
  </si>
  <si>
    <t>Veriflow High 5,5 DN25L</t>
  </si>
  <si>
    <t>Veriflow DN32</t>
  </si>
  <si>
    <t>Veriflow DN40</t>
  </si>
  <si>
    <t>Veriflow DN50</t>
  </si>
  <si>
    <t>OPTIMA Veriflow Standard DN300 HF</t>
  </si>
  <si>
    <t>OPTIMA Veriflow Standard DN300 LF</t>
  </si>
  <si>
    <t>OPTIMA Veriflow Standard DN250 HF</t>
  </si>
  <si>
    <t>OPTIMA Veriflow Standard DN250 LF</t>
  </si>
  <si>
    <t>OPTIMA Veriflow Standard DN200 HF</t>
  </si>
  <si>
    <t>OPTIMA Veriflow Standard DN200 LF</t>
  </si>
  <si>
    <t>OPTIMA Veriflow Standard DN150 HF</t>
  </si>
  <si>
    <t>OPTIMA Veriflow Standard DN150 LF</t>
  </si>
  <si>
    <t>OPTIMA Veriflow Standard DN125 HF</t>
  </si>
  <si>
    <t>OPTIMA Veriflow Standard DN125 LF</t>
  </si>
  <si>
    <t>OPTIMA Veriflow Ultra DN125 HF</t>
  </si>
  <si>
    <t>OPTIMA Veriflow Ultra DN125 LF</t>
  </si>
  <si>
    <t>OPTIMA Veriflow Standard DN100 HF</t>
  </si>
  <si>
    <t>OPTIMA Veriflow Standard DN100 LF</t>
  </si>
  <si>
    <t>OPTIMA Veriflow Ultra DN100 HF</t>
  </si>
  <si>
    <t>OPTIMA Veriflow Ultra DN100 LF</t>
  </si>
  <si>
    <t>OPTIMA Veriflow Standard DN80 HF</t>
  </si>
  <si>
    <t>OPTIMA Veriflow Standard DN80 LF</t>
  </si>
  <si>
    <t>OPTIMA Veriflow Ultra DN80 HF</t>
  </si>
  <si>
    <t>OPTIMA Veriflow Ultra DN80 LF</t>
  </si>
  <si>
    <t>OPTIMA Veriflow Standard DN65 HF</t>
  </si>
  <si>
    <t>OPTIMA Veriflow Standard DN65 LF</t>
  </si>
  <si>
    <t>OPTIMA Veriflow Ultra DN65 HF</t>
  </si>
  <si>
    <t>OPTIMA Veriflow Ultra DN65 LF</t>
  </si>
  <si>
    <t>OPTIMA Veriflow Standard DN50 HF</t>
  </si>
  <si>
    <t>OPTIMA Veriflow Standard DN50 LF</t>
  </si>
  <si>
    <t>OPTIMA Veriflow Ultra DN50 HF</t>
  </si>
  <si>
    <r>
      <t>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</si>
  <si>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kPa (Use PT plugs P1 &amp; P2)</t>
  </si>
  <si>
    <t>QUICK - CONTROL OPTIMA Compact Veriflow Flanged</t>
  </si>
  <si>
    <t>QUICK - CONTROL Frese STBV, VODRV</t>
  </si>
  <si>
    <t>(kPa) KV signal (For flow measurement)</t>
  </si>
  <si>
    <t>Verification
Flow (l/h)</t>
  </si>
  <si>
    <t>QUICK - CONTROL Frese STBV, VODRV Flanged</t>
  </si>
  <si>
    <r>
      <t>Verification
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</si>
  <si>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Setting &amp; Selection program</t>
  </si>
  <si>
    <t>QUICK - CALC SIGMA Compact</t>
  </si>
  <si>
    <t>QUICK - CALC SIGMA Compact Flanged</t>
  </si>
  <si>
    <t>QUICK - CALC PV-SIGMA Compact</t>
  </si>
  <si>
    <t xml:space="preserve">  Setting &amp; Selection program</t>
  </si>
  <si>
    <t>Selection program</t>
  </si>
  <si>
    <t>QUICK - CALC Frese ALPHA Wafer</t>
  </si>
  <si>
    <t>QUICK - CALC COMBIFLOW 6-Way</t>
  </si>
  <si>
    <t>QUICK - CALC OPTIMIZER 6-Way</t>
  </si>
  <si>
    <t>30 - 830</t>
  </si>
  <si>
    <t>Køling</t>
  </si>
  <si>
    <t>Varme</t>
  </si>
  <si>
    <t>Vinkel køling</t>
  </si>
  <si>
    <t>Vinkel varme</t>
  </si>
  <si>
    <t>Minimum DP</t>
  </si>
  <si>
    <t>Total pumpe DP</t>
  </si>
  <si>
    <t>Calculation total pressure loss</t>
  </si>
  <si>
    <t>Total ∆P (kPa)</t>
  </si>
  <si>
    <t>Current</t>
  </si>
  <si>
    <t>Voltage</t>
  </si>
  <si>
    <t>DN15 LOW</t>
  </si>
  <si>
    <t>Best Match</t>
  </si>
  <si>
    <t>DN15 High 5,5</t>
  </si>
  <si>
    <t>Veriflow High 5,5 DN15/20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</si>
</sst>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* #,##0.00_);_(* \(#,##0.00\);_(* &quot;-&quot;??_);_(@_)"/>
    <numFmt numFmtId="166" formatCode="0.0"/>
    <numFmt numFmtId="167" formatCode="0.0%"/>
    <numFmt numFmtId="168" formatCode="#,##0.0"/>
    <numFmt numFmtId="169" formatCode="0.000"/>
    <numFmt numFmtId="170" formatCode="0.00000"/>
  </numFmts>
  <fonts count="4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57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b/>
      <sz val="10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9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8">
    <xf numFmtId="0" fontId="0" fillId="0" borderId="0"/>
    <xf numFmtId="164" fontId="26" fillId="0" borderId="0" applyFont="0" applyFill="0" applyBorder="0" applyAlignment="0" applyProtection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21" fillId="20" borderId="1" applyNumberFormat="0" applyAlignment="0" applyProtection="0"/>
    <xf numFmtId="0" fontId="22" fillId="20" borderId="3" applyNumberFormat="0" applyAlignment="0" applyProtection="0"/>
    <xf numFmtId="0" fontId="20" fillId="7" borderId="3" applyNumberFormat="0" applyAlignment="0" applyProtection="0"/>
    <xf numFmtId="0" fontId="28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18" fillId="4" borderId="0" applyNumberFormat="0" applyBorder="0" applyAlignment="0" applyProtection="0"/>
    <xf numFmtId="165" fontId="1" fillId="0" borderId="0" applyFont="0" applyFill="0" applyBorder="0" applyAlignment="0" applyProtection="0"/>
    <xf numFmtId="0" fontId="8" fillId="21" borderId="2" applyNumberFormat="0" applyFont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3" borderId="0" applyNumberFormat="0" applyBorder="0" applyAlignment="0" applyProtection="0"/>
    <xf numFmtId="0" fontId="23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4" fillId="22" borderId="5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57">
    <xf numFmtId="0" fontId="0" fillId="0" borderId="0" xfId="0"/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3" fillId="0" borderId="0" xfId="0" applyFont="1"/>
    <xf numFmtId="0" fontId="0" fillId="23" borderId="0" xfId="0" applyFill="1"/>
    <xf numFmtId="0" fontId="6" fillId="23" borderId="0" xfId="0" applyFont="1" applyFill="1"/>
    <xf numFmtId="2" fontId="7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0" xfId="0" applyFont="1"/>
    <xf numFmtId="0" fontId="2" fillId="23" borderId="0" xfId="0" applyFont="1" applyFill="1"/>
    <xf numFmtId="166" fontId="0" fillId="0" borderId="0" xfId="0" applyNumberFormat="1" applyAlignment="1">
      <alignment horizontal="center"/>
    </xf>
    <xf numFmtId="166" fontId="0" fillId="23" borderId="0" xfId="0" applyNumberFormat="1" applyFill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2" fillId="0" borderId="23" xfId="0" applyFont="1" applyBorder="1"/>
    <xf numFmtId="0" fontId="2" fillId="24" borderId="0" xfId="0" applyFont="1" applyFill="1" applyAlignment="1" applyProtection="1">
      <alignment horizontal="center"/>
      <protection locked="0"/>
    </xf>
    <xf numFmtId="0" fontId="2" fillId="0" borderId="14" xfId="0" applyFont="1" applyBorder="1"/>
    <xf numFmtId="166" fontId="2" fillId="25" borderId="10" xfId="0" applyNumberFormat="1" applyFont="1" applyFill="1" applyBorder="1" applyAlignment="1">
      <alignment horizontal="center"/>
    </xf>
    <xf numFmtId="0" fontId="2" fillId="26" borderId="15" xfId="0" applyFont="1" applyFill="1" applyBorder="1" applyAlignment="1">
      <alignment horizontal="center"/>
    </xf>
    <xf numFmtId="166" fontId="2" fillId="25" borderId="17" xfId="0" applyNumberFormat="1" applyFont="1" applyFill="1" applyBorder="1" applyAlignment="1">
      <alignment horizontal="center"/>
    </xf>
    <xf numFmtId="3" fontId="1" fillId="0" borderId="10" xfId="32" applyNumberForma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2" fillId="0" borderId="20" xfId="0" applyFont="1" applyBorder="1"/>
    <xf numFmtId="0" fontId="2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2" fillId="0" borderId="0" xfId="0" applyNumberFormat="1" applyFont="1" applyAlignment="1">
      <alignment horizontal="center"/>
    </xf>
    <xf numFmtId="1" fontId="10" fillId="0" borderId="10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/>
    </xf>
    <xf numFmtId="1" fontId="10" fillId="0" borderId="17" xfId="0" applyNumberFormat="1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2" fillId="25" borderId="0" xfId="0" applyFont="1" applyFill="1"/>
    <xf numFmtId="0" fontId="2" fillId="27" borderId="14" xfId="0" applyFont="1" applyFill="1" applyBorder="1"/>
    <xf numFmtId="0" fontId="2" fillId="25" borderId="10" xfId="0" applyFont="1" applyFill="1" applyBorder="1" applyAlignment="1">
      <alignment horizontal="center"/>
    </xf>
    <xf numFmtId="0" fontId="2" fillId="27" borderId="16" xfId="0" applyFont="1" applyFill="1" applyBorder="1"/>
    <xf numFmtId="0" fontId="12" fillId="0" borderId="23" xfId="0" applyFont="1" applyBorder="1"/>
    <xf numFmtId="0" fontId="2" fillId="25" borderId="10" xfId="0" applyFont="1" applyFill="1" applyBorder="1" applyAlignment="1">
      <alignment horizontal="center" vertical="center" wrapText="1"/>
    </xf>
    <xf numFmtId="0" fontId="2" fillId="26" borderId="10" xfId="0" applyFont="1" applyFill="1" applyBorder="1" applyAlignment="1">
      <alignment horizontal="center"/>
    </xf>
    <xf numFmtId="0" fontId="2" fillId="0" borderId="43" xfId="0" applyFont="1" applyBorder="1"/>
    <xf numFmtId="0" fontId="2" fillId="0" borderId="44" xfId="0" applyFont="1" applyBorder="1"/>
    <xf numFmtId="0" fontId="2" fillId="26" borderId="17" xfId="0" applyFont="1" applyFill="1" applyBorder="1" applyAlignment="1">
      <alignment horizontal="center"/>
    </xf>
    <xf numFmtId="0" fontId="2" fillId="26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5" borderId="45" xfId="0" applyFont="1" applyFill="1" applyBorder="1"/>
    <xf numFmtId="0" fontId="2" fillId="26" borderId="46" xfId="0" applyFont="1" applyFill="1" applyBorder="1" applyAlignment="1">
      <alignment horizontal="center"/>
    </xf>
    <xf numFmtId="0" fontId="2" fillId="26" borderId="47" xfId="0" applyFont="1" applyFill="1" applyBorder="1" applyAlignment="1">
      <alignment horizontal="center"/>
    </xf>
    <xf numFmtId="0" fontId="2" fillId="25" borderId="48" xfId="0" applyFont="1" applyFill="1" applyBorder="1"/>
    <xf numFmtId="0" fontId="2" fillId="25" borderId="49" xfId="0" applyFont="1" applyFill="1" applyBorder="1" applyAlignment="1">
      <alignment horizontal="center"/>
    </xf>
    <xf numFmtId="0" fontId="2" fillId="26" borderId="50" xfId="0" applyFont="1" applyFill="1" applyBorder="1" applyAlignment="1">
      <alignment horizontal="center"/>
    </xf>
    <xf numFmtId="0" fontId="2" fillId="25" borderId="48" xfId="0" applyFont="1" applyFill="1" applyBorder="1" applyAlignment="1">
      <alignment horizontal="left" vertical="center"/>
    </xf>
    <xf numFmtId="166" fontId="2" fillId="25" borderId="49" xfId="0" applyNumberFormat="1" applyFont="1" applyFill="1" applyBorder="1" applyAlignment="1">
      <alignment horizontal="center"/>
    </xf>
    <xf numFmtId="0" fontId="2" fillId="25" borderId="52" xfId="0" applyFont="1" applyFill="1" applyBorder="1" applyAlignment="1">
      <alignment horizontal="left" vertical="center"/>
    </xf>
    <xf numFmtId="166" fontId="2" fillId="25" borderId="53" xfId="0" applyNumberFormat="1" applyFont="1" applyFill="1" applyBorder="1" applyAlignment="1">
      <alignment horizontal="center"/>
    </xf>
    <xf numFmtId="0" fontId="2" fillId="27" borderId="10" xfId="0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 vertical="center" wrapText="1"/>
    </xf>
    <xf numFmtId="0" fontId="2" fillId="25" borderId="27" xfId="0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 vertical="center" wrapText="1"/>
    </xf>
    <xf numFmtId="0" fontId="13" fillId="26" borderId="48" xfId="0" applyFont="1" applyFill="1" applyBorder="1" applyAlignment="1">
      <alignment horizontal="center" vertical="center" wrapText="1"/>
    </xf>
    <xf numFmtId="49" fontId="2" fillId="27" borderId="49" xfId="0" applyNumberFormat="1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/>
    </xf>
    <xf numFmtId="49" fontId="2" fillId="26" borderId="48" xfId="0" applyNumberFormat="1" applyFont="1" applyFill="1" applyBorder="1" applyAlignment="1">
      <alignment horizontal="center"/>
    </xf>
    <xf numFmtId="0" fontId="2" fillId="27" borderId="17" xfId="0" applyFont="1" applyFill="1" applyBorder="1" applyAlignment="1">
      <alignment horizontal="center"/>
    </xf>
    <xf numFmtId="49" fontId="2" fillId="27" borderId="53" xfId="0" applyNumberFormat="1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49" fontId="2" fillId="26" borderId="52" xfId="0" applyNumberFormat="1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31" fillId="0" borderId="0" xfId="0" applyFont="1"/>
    <xf numFmtId="0" fontId="31" fillId="0" borderId="0" xfId="0" applyFont="1" applyAlignment="1">
      <alignment horizontal="left"/>
    </xf>
    <xf numFmtId="0" fontId="0" fillId="0" borderId="54" xfId="0" applyBorder="1"/>
    <xf numFmtId="0" fontId="0" fillId="0" borderId="37" xfId="0" applyBorder="1"/>
    <xf numFmtId="0" fontId="31" fillId="0" borderId="0" xfId="0" applyFont="1" applyAlignment="1">
      <alignment horizontal="center"/>
    </xf>
    <xf numFmtId="0" fontId="0" fillId="0" borderId="45" xfId="0" applyBorder="1"/>
    <xf numFmtId="0" fontId="31" fillId="0" borderId="55" xfId="0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3" fontId="2" fillId="0" borderId="45" xfId="0" applyNumberFormat="1" applyFont="1" applyBorder="1" applyAlignment="1">
      <alignment horizontal="center"/>
    </xf>
    <xf numFmtId="3" fontId="2" fillId="27" borderId="56" xfId="0" applyNumberFormat="1" applyFont="1" applyFill="1" applyBorder="1" applyAlignment="1">
      <alignment horizontal="center"/>
    </xf>
    <xf numFmtId="3" fontId="2" fillId="27" borderId="38" xfId="0" applyNumberFormat="1" applyFont="1" applyFill="1" applyBorder="1" applyAlignment="1">
      <alignment horizontal="center"/>
    </xf>
    <xf numFmtId="3" fontId="2" fillId="26" borderId="38" xfId="0" applyNumberFormat="1" applyFont="1" applyFill="1" applyBorder="1" applyAlignment="1">
      <alignment horizontal="center"/>
    </xf>
    <xf numFmtId="3" fontId="2" fillId="24" borderId="57" xfId="0" applyNumberFormat="1" applyFont="1" applyFill="1" applyBorder="1" applyAlignment="1">
      <alignment horizontal="center"/>
    </xf>
    <xf numFmtId="3" fontId="2" fillId="24" borderId="57" xfId="0" quotePrefix="1" applyNumberFormat="1" applyFont="1" applyFill="1" applyBorder="1" applyAlignment="1">
      <alignment horizontal="center"/>
    </xf>
    <xf numFmtId="3" fontId="2" fillId="27" borderId="49" xfId="0" applyNumberFormat="1" applyFont="1" applyFill="1" applyBorder="1" applyAlignment="1">
      <alignment horizontal="center"/>
    </xf>
    <xf numFmtId="3" fontId="2" fillId="27" borderId="10" xfId="0" applyNumberFormat="1" applyFont="1" applyFill="1" applyBorder="1" applyAlignment="1">
      <alignment horizontal="center"/>
    </xf>
    <xf numFmtId="3" fontId="2" fillId="26" borderId="10" xfId="0" applyNumberFormat="1" applyFont="1" applyFill="1" applyBorder="1" applyAlignment="1">
      <alignment horizontal="center"/>
    </xf>
    <xf numFmtId="3" fontId="2" fillId="24" borderId="48" xfId="0" applyNumberFormat="1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/>
    </xf>
    <xf numFmtId="0" fontId="2" fillId="24" borderId="48" xfId="0" applyFont="1" applyFill="1" applyBorder="1" applyAlignment="1">
      <alignment horizontal="center"/>
    </xf>
    <xf numFmtId="0" fontId="0" fillId="0" borderId="55" xfId="0" applyBorder="1"/>
    <xf numFmtId="0" fontId="31" fillId="26" borderId="10" xfId="0" applyFont="1" applyFill="1" applyBorder="1" applyAlignment="1">
      <alignment horizontal="center"/>
    </xf>
    <xf numFmtId="0" fontId="31" fillId="24" borderId="48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0" fillId="0" borderId="38" xfId="0" applyBorder="1"/>
    <xf numFmtId="0" fontId="0" fillId="0" borderId="57" xfId="0" applyBorder="1"/>
    <xf numFmtId="0" fontId="0" fillId="0" borderId="48" xfId="0" applyBorder="1"/>
    <xf numFmtId="0" fontId="0" fillId="0" borderId="33" xfId="0" applyBorder="1"/>
    <xf numFmtId="0" fontId="8" fillId="0" borderId="5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2" fillId="0" borderId="55" xfId="0" applyFont="1" applyBorder="1"/>
    <xf numFmtId="0" fontId="8" fillId="0" borderId="55" xfId="0" applyFont="1" applyBorder="1"/>
    <xf numFmtId="0" fontId="8" fillId="0" borderId="48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8" fillId="0" borderId="0" xfId="0" applyFont="1"/>
    <xf numFmtId="0" fontId="2" fillId="24" borderId="56" xfId="0" applyFont="1" applyFill="1" applyBorder="1" applyAlignment="1">
      <alignment horizontal="center"/>
    </xf>
    <xf numFmtId="0" fontId="2" fillId="24" borderId="38" xfId="0" applyFont="1" applyFill="1" applyBorder="1" applyAlignment="1">
      <alignment horizontal="center"/>
    </xf>
    <xf numFmtId="0" fontId="2" fillId="24" borderId="57" xfId="0" applyFont="1" applyFill="1" applyBorder="1" applyAlignment="1">
      <alignment horizontal="center"/>
    </xf>
    <xf numFmtId="0" fontId="2" fillId="29" borderId="56" xfId="0" applyFont="1" applyFill="1" applyBorder="1" applyAlignment="1">
      <alignment horizontal="center"/>
    </xf>
    <xf numFmtId="0" fontId="2" fillId="29" borderId="38" xfId="0" applyFont="1" applyFill="1" applyBorder="1" applyAlignment="1">
      <alignment horizontal="center"/>
    </xf>
    <xf numFmtId="0" fontId="2" fillId="30" borderId="38" xfId="0" applyFont="1" applyFill="1" applyBorder="1" applyAlignment="1">
      <alignment horizontal="center"/>
    </xf>
    <xf numFmtId="0" fontId="2" fillId="30" borderId="57" xfId="0" applyFont="1" applyFill="1" applyBorder="1" applyAlignment="1">
      <alignment horizontal="center"/>
    </xf>
    <xf numFmtId="3" fontId="2" fillId="0" borderId="56" xfId="0" applyNumberFormat="1" applyFont="1" applyBorder="1" applyAlignment="1">
      <alignment horizontal="center"/>
    </xf>
    <xf numFmtId="3" fontId="2" fillId="0" borderId="57" xfId="0" applyNumberFormat="1" applyFont="1" applyBorder="1" applyAlignment="1">
      <alignment horizontal="center"/>
    </xf>
    <xf numFmtId="0" fontId="2" fillId="0" borderId="59" xfId="0" applyFont="1" applyBorder="1"/>
    <xf numFmtId="0" fontId="2" fillId="24" borderId="49" xfId="0" applyFont="1" applyFill="1" applyBorder="1" applyAlignment="1">
      <alignment horizontal="center"/>
    </xf>
    <xf numFmtId="0" fontId="2" fillId="24" borderId="10" xfId="0" applyFont="1" applyFill="1" applyBorder="1" applyAlignment="1">
      <alignment horizontal="center"/>
    </xf>
    <xf numFmtId="0" fontId="2" fillId="29" borderId="49" xfId="0" applyFont="1" applyFill="1" applyBorder="1" applyAlignment="1">
      <alignment horizontal="center"/>
    </xf>
    <xf numFmtId="0" fontId="2" fillId="29" borderId="10" xfId="0" applyFont="1" applyFill="1" applyBorder="1" applyAlignment="1">
      <alignment horizontal="center"/>
    </xf>
    <xf numFmtId="0" fontId="2" fillId="30" borderId="10" xfId="0" applyFont="1" applyFill="1" applyBorder="1" applyAlignment="1">
      <alignment horizontal="center"/>
    </xf>
    <xf numFmtId="0" fontId="2" fillId="30" borderId="48" xfId="0" applyFont="1" applyFill="1" applyBorder="1" applyAlignment="1">
      <alignment horizontal="center"/>
    </xf>
    <xf numFmtId="3" fontId="2" fillId="31" borderId="49" xfId="0" applyNumberFormat="1" applyFont="1" applyFill="1" applyBorder="1" applyAlignment="1">
      <alignment horizontal="center"/>
    </xf>
    <xf numFmtId="3" fontId="2" fillId="31" borderId="48" xfId="0" applyNumberFormat="1" applyFont="1" applyFill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3" fontId="2" fillId="0" borderId="48" xfId="0" applyNumberFormat="1" applyFont="1" applyBorder="1" applyAlignment="1">
      <alignment horizontal="center"/>
    </xf>
    <xf numFmtId="3" fontId="2" fillId="29" borderId="49" xfId="0" applyNumberFormat="1" applyFont="1" applyFill="1" applyBorder="1" applyAlignment="1">
      <alignment horizontal="center"/>
    </xf>
    <xf numFmtId="3" fontId="2" fillId="29" borderId="10" xfId="0" applyNumberFormat="1" applyFont="1" applyFill="1" applyBorder="1" applyAlignment="1">
      <alignment horizontal="center"/>
    </xf>
    <xf numFmtId="3" fontId="2" fillId="30" borderId="10" xfId="0" applyNumberFormat="1" applyFont="1" applyFill="1" applyBorder="1" applyAlignment="1">
      <alignment horizontal="center"/>
    </xf>
    <xf numFmtId="3" fontId="2" fillId="30" borderId="48" xfId="0" applyNumberFormat="1" applyFont="1" applyFill="1" applyBorder="1" applyAlignment="1">
      <alignment horizontal="center"/>
    </xf>
    <xf numFmtId="3" fontId="2" fillId="29" borderId="10" xfId="0" applyNumberFormat="1" applyFont="1" applyFill="1" applyBorder="1"/>
    <xf numFmtId="0" fontId="2" fillId="29" borderId="60" xfId="0" applyFont="1" applyFill="1" applyBorder="1" applyAlignment="1">
      <alignment horizontal="center"/>
    </xf>
    <xf numFmtId="0" fontId="2" fillId="29" borderId="42" xfId="0" applyFont="1" applyFill="1" applyBorder="1" applyAlignment="1">
      <alignment horizontal="center"/>
    </xf>
    <xf numFmtId="0" fontId="2" fillId="30" borderId="42" xfId="0" applyFont="1" applyFill="1" applyBorder="1" applyAlignment="1">
      <alignment horizontal="center"/>
    </xf>
    <xf numFmtId="0" fontId="2" fillId="30" borderId="61" xfId="0" applyFont="1" applyFill="1" applyBorder="1" applyAlignment="1">
      <alignment horizontal="center"/>
    </xf>
    <xf numFmtId="0" fontId="2" fillId="31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24" borderId="60" xfId="0" applyFont="1" applyFill="1" applyBorder="1" applyAlignment="1">
      <alignment horizontal="center"/>
    </xf>
    <xf numFmtId="0" fontId="2" fillId="24" borderId="42" xfId="0" applyFont="1" applyFill="1" applyBorder="1" applyAlignment="1">
      <alignment horizontal="center"/>
    </xf>
    <xf numFmtId="0" fontId="2" fillId="24" borderId="61" xfId="0" applyFont="1" applyFill="1" applyBorder="1" applyAlignment="1">
      <alignment horizontal="center"/>
    </xf>
    <xf numFmtId="0" fontId="2" fillId="31" borderId="60" xfId="0" applyFont="1" applyFill="1" applyBorder="1" applyAlignment="1">
      <alignment horizontal="center"/>
    </xf>
    <xf numFmtId="0" fontId="2" fillId="31" borderId="61" xfId="0" applyFont="1" applyFill="1" applyBorder="1" applyAlignment="1">
      <alignment horizontal="center"/>
    </xf>
    <xf numFmtId="0" fontId="2" fillId="24" borderId="62" xfId="0" applyFont="1" applyFill="1" applyBorder="1" applyAlignment="1">
      <alignment horizontal="center"/>
    </xf>
    <xf numFmtId="0" fontId="2" fillId="24" borderId="63" xfId="0" applyFont="1" applyFill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24" borderId="30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3" fontId="2" fillId="0" borderId="0" xfId="0" quotePrefix="1" applyNumberFormat="1" applyFont="1" applyAlignment="1">
      <alignment horizontal="center"/>
    </xf>
    <xf numFmtId="0" fontId="2" fillId="0" borderId="25" xfId="0" applyFont="1" applyBorder="1"/>
    <xf numFmtId="0" fontId="2" fillId="0" borderId="22" xfId="0" applyFont="1" applyBorder="1"/>
    <xf numFmtId="0" fontId="2" fillId="28" borderId="60" xfId="0" applyFont="1" applyFill="1" applyBorder="1" applyAlignment="1">
      <alignment horizontal="center"/>
    </xf>
    <xf numFmtId="0" fontId="2" fillId="28" borderId="61" xfId="0" applyFont="1" applyFill="1" applyBorder="1" applyAlignment="1">
      <alignment horizontal="center"/>
    </xf>
    <xf numFmtId="3" fontId="2" fillId="0" borderId="60" xfId="0" applyNumberFormat="1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26" borderId="67" xfId="0" applyFont="1" applyFill="1" applyBorder="1" applyAlignment="1">
      <alignment horizontal="center"/>
    </xf>
    <xf numFmtId="0" fontId="2" fillId="26" borderId="68" xfId="0" applyFont="1" applyFill="1" applyBorder="1" applyAlignment="1">
      <alignment horizontal="center"/>
    </xf>
    <xf numFmtId="0" fontId="2" fillId="25" borderId="69" xfId="0" applyFont="1" applyFill="1" applyBorder="1"/>
    <xf numFmtId="0" fontId="2" fillId="25" borderId="68" xfId="0" applyFont="1" applyFill="1" applyBorder="1"/>
    <xf numFmtId="0" fontId="2" fillId="0" borderId="38" xfId="0" applyFont="1" applyBorder="1" applyAlignment="1">
      <alignment horizontal="center"/>
    </xf>
    <xf numFmtId="0" fontId="2" fillId="0" borderId="57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4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70" xfId="0" applyFont="1" applyBorder="1" applyAlignment="1">
      <alignment horizontal="left"/>
    </xf>
    <xf numFmtId="0" fontId="2" fillId="27" borderId="71" xfId="0" applyFont="1" applyFill="1" applyBorder="1" applyAlignment="1">
      <alignment horizontal="center"/>
    </xf>
    <xf numFmtId="0" fontId="2" fillId="27" borderId="72" xfId="0" applyFont="1" applyFill="1" applyBorder="1" applyAlignment="1">
      <alignment horizontal="center"/>
    </xf>
    <xf numFmtId="0" fontId="2" fillId="27" borderId="54" xfId="0" applyFont="1" applyFill="1" applyBorder="1"/>
    <xf numFmtId="0" fontId="2" fillId="27" borderId="37" xfId="0" applyFont="1" applyFill="1" applyBorder="1"/>
    <xf numFmtId="0" fontId="2" fillId="27" borderId="59" xfId="0" applyFont="1" applyFill="1" applyBorder="1"/>
    <xf numFmtId="0" fontId="2" fillId="27" borderId="73" xfId="0" applyFont="1" applyFill="1" applyBorder="1" applyAlignment="1">
      <alignment horizontal="center"/>
    </xf>
    <xf numFmtId="0" fontId="2" fillId="27" borderId="74" xfId="0" applyFont="1" applyFill="1" applyBorder="1" applyAlignment="1">
      <alignment horizontal="center"/>
    </xf>
    <xf numFmtId="0" fontId="2" fillId="27" borderId="75" xfId="0" applyFont="1" applyFill="1" applyBorder="1"/>
    <xf numFmtId="0" fontId="2" fillId="27" borderId="76" xfId="0" applyFont="1" applyFill="1" applyBorder="1"/>
    <xf numFmtId="0" fontId="2" fillId="27" borderId="77" xfId="0" applyFont="1" applyFill="1" applyBorder="1"/>
    <xf numFmtId="0" fontId="31" fillId="0" borderId="45" xfId="0" applyFont="1" applyBorder="1"/>
    <xf numFmtId="0" fontId="32" fillId="0" borderId="23" xfId="0" applyFont="1" applyBorder="1"/>
    <xf numFmtId="0" fontId="5" fillId="0" borderId="0" xfId="0" applyFont="1" applyAlignment="1">
      <alignment horizontal="left"/>
    </xf>
    <xf numFmtId="0" fontId="0" fillId="0" borderId="75" xfId="0" applyBorder="1"/>
    <xf numFmtId="0" fontId="0" fillId="0" borderId="76" xfId="0" applyBorder="1"/>
    <xf numFmtId="0" fontId="33" fillId="0" borderId="76" xfId="0" applyFont="1" applyBorder="1" applyAlignment="1">
      <alignment horizontal="right"/>
    </xf>
    <xf numFmtId="0" fontId="5" fillId="30" borderId="19" xfId="0" applyFont="1" applyFill="1" applyBorder="1" applyAlignment="1">
      <alignment horizontal="left"/>
    </xf>
    <xf numFmtId="0" fontId="2" fillId="28" borderId="18" xfId="0" applyFont="1" applyFill="1" applyBorder="1" applyAlignment="1">
      <alignment horizontal="center"/>
    </xf>
    <xf numFmtId="0" fontId="2" fillId="28" borderId="16" xfId="0" applyFont="1" applyFill="1" applyBorder="1" applyAlignment="1">
      <alignment horizontal="center"/>
    </xf>
    <xf numFmtId="0" fontId="2" fillId="28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28" borderId="14" xfId="0" applyFont="1" applyFill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61" xfId="0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166" fontId="2" fillId="0" borderId="0" xfId="0" applyNumberFormat="1" applyFont="1" applyAlignment="1">
      <alignment horizontal="left"/>
    </xf>
    <xf numFmtId="0" fontId="2" fillId="27" borderId="86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center"/>
    </xf>
    <xf numFmtId="0" fontId="2" fillId="27" borderId="88" xfId="0" applyFont="1" applyFill="1" applyBorder="1" applyAlignment="1">
      <alignment horizontal="center"/>
    </xf>
    <xf numFmtId="0" fontId="2" fillId="27" borderId="86" xfId="0" applyFont="1" applyFill="1" applyBorder="1" applyAlignment="1">
      <alignment horizontal="center"/>
    </xf>
    <xf numFmtId="0" fontId="2" fillId="27" borderId="89" xfId="0" applyFont="1" applyFill="1" applyBorder="1" applyAlignment="1">
      <alignment horizontal="center"/>
    </xf>
    <xf numFmtId="1" fontId="2" fillId="27" borderId="11" xfId="0" applyNumberFormat="1" applyFont="1" applyFill="1" applyBorder="1" applyAlignment="1">
      <alignment horizontal="center"/>
    </xf>
    <xf numFmtId="0" fontId="2" fillId="27" borderId="21" xfId="0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27" borderId="90" xfId="0" applyFont="1" applyFill="1" applyBorder="1" applyAlignment="1">
      <alignment horizontal="left"/>
    </xf>
    <xf numFmtId="0" fontId="2" fillId="27" borderId="42" xfId="0" applyFont="1" applyFill="1" applyBorder="1" applyAlignment="1">
      <alignment horizontal="left"/>
    </xf>
    <xf numFmtId="0" fontId="0" fillId="27" borderId="42" xfId="0" applyFill="1" applyBorder="1"/>
    <xf numFmtId="0" fontId="2" fillId="27" borderId="78" xfId="0" applyFont="1" applyFill="1" applyBorder="1" applyAlignment="1">
      <alignment horizontal="center"/>
    </xf>
    <xf numFmtId="0" fontId="2" fillId="27" borderId="90" xfId="0" applyFont="1" applyFill="1" applyBorder="1" applyAlignment="1">
      <alignment horizontal="center"/>
    </xf>
    <xf numFmtId="0" fontId="2" fillId="27" borderId="42" xfId="0" applyFont="1" applyFill="1" applyBorder="1" applyAlignment="1">
      <alignment horizontal="center"/>
    </xf>
    <xf numFmtId="0" fontId="2" fillId="27" borderId="35" xfId="0" applyFont="1" applyFill="1" applyBorder="1" applyAlignment="1">
      <alignment horizontal="center"/>
    </xf>
    <xf numFmtId="1" fontId="2" fillId="27" borderId="14" xfId="0" applyNumberFormat="1" applyFont="1" applyFill="1" applyBorder="1" applyAlignment="1">
      <alignment horizontal="center"/>
    </xf>
    <xf numFmtId="0" fontId="2" fillId="27" borderId="91" xfId="0" applyFont="1" applyFill="1" applyBorder="1" applyAlignment="1">
      <alignment horizontal="center"/>
    </xf>
    <xf numFmtId="0" fontId="2" fillId="0" borderId="0" xfId="0" quotePrefix="1" applyFont="1"/>
    <xf numFmtId="3" fontId="2" fillId="0" borderId="0" xfId="0" applyNumberFormat="1" applyFont="1" applyAlignment="1">
      <alignment horizontal="left"/>
    </xf>
    <xf numFmtId="168" fontId="2" fillId="25" borderId="14" xfId="0" applyNumberFormat="1" applyFont="1" applyFill="1" applyBorder="1"/>
    <xf numFmtId="168" fontId="2" fillId="25" borderId="10" xfId="0" applyNumberFormat="1" applyFont="1" applyFill="1" applyBorder="1"/>
    <xf numFmtId="0" fontId="0" fillId="25" borderId="10" xfId="0" applyFill="1" applyBorder="1"/>
    <xf numFmtId="3" fontId="2" fillId="0" borderId="93" xfId="0" applyNumberFormat="1" applyFont="1" applyBorder="1"/>
    <xf numFmtId="3" fontId="2" fillId="0" borderId="31" xfId="0" applyNumberFormat="1" applyFont="1" applyBorder="1"/>
    <xf numFmtId="3" fontId="2" fillId="0" borderId="94" xfId="0" applyNumberFormat="1" applyFont="1" applyBorder="1"/>
    <xf numFmtId="168" fontId="2" fillId="25" borderId="16" xfId="0" applyNumberFormat="1" applyFont="1" applyFill="1" applyBorder="1"/>
    <xf numFmtId="168" fontId="2" fillId="25" borderId="17" xfId="0" applyNumberFormat="1" applyFont="1" applyFill="1" applyBorder="1"/>
    <xf numFmtId="0" fontId="0" fillId="25" borderId="17" xfId="0" applyFill="1" applyBorder="1"/>
    <xf numFmtId="0" fontId="2" fillId="32" borderId="0" xfId="0" applyFont="1" applyFill="1" applyAlignment="1">
      <alignment horizontal="center"/>
    </xf>
    <xf numFmtId="0" fontId="0" fillId="32" borderId="0" xfId="0" applyFill="1"/>
    <xf numFmtId="0" fontId="0" fillId="32" borderId="22" xfId="0" applyFill="1" applyBorder="1"/>
    <xf numFmtId="0" fontId="2" fillId="25" borderId="0" xfId="0" applyFont="1" applyFill="1" applyAlignment="1">
      <alignment horizontal="center"/>
    </xf>
    <xf numFmtId="1" fontId="2" fillId="25" borderId="0" xfId="0" applyNumberFormat="1" applyFont="1" applyFill="1" applyAlignment="1">
      <alignment horizontal="center"/>
    </xf>
    <xf numFmtId="0" fontId="2" fillId="25" borderId="2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32" borderId="0" xfId="0" applyFont="1" applyFill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28" borderId="23" xfId="0" applyFont="1" applyFill="1" applyBorder="1" applyAlignment="1">
      <alignment horizontal="center"/>
    </xf>
    <xf numFmtId="166" fontId="2" fillId="28" borderId="0" xfId="0" applyNumberFormat="1" applyFont="1" applyFill="1" applyAlignment="1">
      <alignment horizontal="center"/>
    </xf>
    <xf numFmtId="0" fontId="2" fillId="28" borderId="0" xfId="0" applyFont="1" applyFill="1" applyAlignment="1">
      <alignment horizontal="center"/>
    </xf>
    <xf numFmtId="168" fontId="2" fillId="32" borderId="0" xfId="0" quotePrefix="1" applyNumberFormat="1" applyFont="1" applyFill="1" applyAlignment="1">
      <alignment horizontal="center"/>
    </xf>
    <xf numFmtId="1" fontId="2" fillId="32" borderId="0" xfId="0" quotePrefix="1" applyNumberFormat="1" applyFont="1" applyFill="1" applyAlignment="1">
      <alignment horizontal="center"/>
    </xf>
    <xf numFmtId="1" fontId="2" fillId="25" borderId="0" xfId="0" quotePrefix="1" applyNumberFormat="1" applyFont="1" applyFill="1" applyAlignment="1">
      <alignment horizontal="center"/>
    </xf>
    <xf numFmtId="166" fontId="2" fillId="25" borderId="0" xfId="0" quotePrefix="1" applyNumberFormat="1" applyFont="1" applyFill="1" applyAlignment="1">
      <alignment horizontal="center"/>
    </xf>
    <xf numFmtId="167" fontId="2" fillId="25" borderId="0" xfId="0" applyNumberFormat="1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3" fontId="2" fillId="32" borderId="0" xfId="0" applyNumberFormat="1" applyFont="1" applyFill="1" applyAlignment="1">
      <alignment horizontal="center"/>
    </xf>
    <xf numFmtId="3" fontId="2" fillId="25" borderId="0" xfId="0" applyNumberFormat="1" applyFont="1" applyFill="1" applyAlignment="1">
      <alignment horizontal="center"/>
    </xf>
    <xf numFmtId="168" fontId="2" fillId="25" borderId="0" xfId="0" applyNumberFormat="1" applyFont="1" applyFill="1" applyAlignment="1">
      <alignment horizontal="center"/>
    </xf>
    <xf numFmtId="168" fontId="2" fillId="24" borderId="0" xfId="0" applyNumberFormat="1" applyFont="1" applyFill="1" applyAlignment="1">
      <alignment horizontal="center"/>
    </xf>
    <xf numFmtId="166" fontId="2" fillId="25" borderId="0" xfId="0" applyNumberFormat="1" applyFont="1" applyFill="1" applyAlignment="1">
      <alignment horizontal="center"/>
    </xf>
    <xf numFmtId="167" fontId="2" fillId="25" borderId="22" xfId="0" applyNumberFormat="1" applyFont="1" applyFill="1" applyBorder="1" applyAlignment="1">
      <alignment horizontal="center"/>
    </xf>
    <xf numFmtId="1" fontId="2" fillId="32" borderId="0" xfId="0" applyNumberFormat="1" applyFont="1" applyFill="1" applyAlignment="1">
      <alignment horizontal="center"/>
    </xf>
    <xf numFmtId="3" fontId="2" fillId="0" borderId="0" xfId="0" applyNumberFormat="1" applyFont="1" applyAlignment="1">
      <alignment horizontal="right"/>
    </xf>
    <xf numFmtId="0" fontId="31" fillId="0" borderId="23" xfId="0" applyFont="1" applyBorder="1"/>
    <xf numFmtId="0" fontId="8" fillId="0" borderId="0" xfId="0" quotePrefix="1" applyFont="1"/>
    <xf numFmtId="0" fontId="8" fillId="0" borderId="0" xfId="0" applyFont="1" applyAlignment="1">
      <alignment horizontal="left"/>
    </xf>
    <xf numFmtId="0" fontId="31" fillId="0" borderId="23" xfId="0" applyFont="1" applyBorder="1" applyAlignment="1">
      <alignment horizontal="left"/>
    </xf>
    <xf numFmtId="0" fontId="3" fillId="0" borderId="23" xfId="0" applyFont="1" applyBorder="1"/>
    <xf numFmtId="168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3" fontId="0" fillId="0" borderId="0" xfId="0" applyNumberFormat="1"/>
    <xf numFmtId="0" fontId="8" fillId="0" borderId="0" xfId="0" quotePrefix="1" applyFont="1" applyAlignment="1">
      <alignment horizontal="left"/>
    </xf>
    <xf numFmtId="164" fontId="26" fillId="0" borderId="0" xfId="1" applyFont="1" applyBorder="1"/>
    <xf numFmtId="164" fontId="8" fillId="0" borderId="0" xfId="1" applyFont="1" applyBorder="1"/>
    <xf numFmtId="167" fontId="2" fillId="0" borderId="0" xfId="0" applyNumberFormat="1" applyFont="1" applyAlignment="1">
      <alignment horizontal="center"/>
    </xf>
    <xf numFmtId="0" fontId="33" fillId="0" borderId="0" xfId="0" applyFont="1"/>
    <xf numFmtId="0" fontId="34" fillId="0" borderId="0" xfId="0" applyFont="1"/>
    <xf numFmtId="0" fontId="31" fillId="0" borderId="10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3" fillId="0" borderId="0" xfId="0" applyFont="1" applyAlignment="1">
      <alignment horizontal="center"/>
    </xf>
    <xf numFmtId="166" fontId="2" fillId="28" borderId="10" xfId="0" applyNumberFormat="1" applyFont="1" applyFill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3" fontId="33" fillId="0" borderId="0" xfId="0" applyNumberFormat="1" applyFont="1" applyAlignment="1">
      <alignment horizontal="center"/>
    </xf>
    <xf numFmtId="3" fontId="33" fillId="0" borderId="0" xfId="0" applyNumberFormat="1" applyFont="1" applyAlignment="1">
      <alignment horizontal="right"/>
    </xf>
    <xf numFmtId="168" fontId="33" fillId="0" borderId="0" xfId="0" applyNumberFormat="1" applyFont="1"/>
    <xf numFmtId="3" fontId="33" fillId="0" borderId="0" xfId="0" applyNumberFormat="1" applyFont="1"/>
    <xf numFmtId="0" fontId="33" fillId="0" borderId="0" xfId="0" applyFont="1" applyAlignment="1">
      <alignment horizontal="left"/>
    </xf>
    <xf numFmtId="166" fontId="2" fillId="28" borderId="17" xfId="0" applyNumberFormat="1" applyFont="1" applyFill="1" applyBorder="1" applyAlignment="1">
      <alignment horizontal="center"/>
    </xf>
    <xf numFmtId="3" fontId="2" fillId="24" borderId="66" xfId="0" applyNumberFormat="1" applyFont="1" applyFill="1" applyBorder="1" applyAlignment="1" applyProtection="1">
      <alignment horizontal="center"/>
      <protection locked="0"/>
    </xf>
    <xf numFmtId="0" fontId="2" fillId="24" borderId="66" xfId="0" applyFont="1" applyFill="1" applyBorder="1" applyAlignment="1" applyProtection="1">
      <alignment horizontal="center"/>
      <protection locked="0"/>
    </xf>
    <xf numFmtId="166" fontId="2" fillId="24" borderId="66" xfId="0" applyNumberFormat="1" applyFont="1" applyFill="1" applyBorder="1" applyAlignment="1" applyProtection="1">
      <alignment horizontal="center"/>
      <protection locked="0"/>
    </xf>
    <xf numFmtId="2" fontId="1" fillId="0" borderId="10" xfId="32" applyNumberFormat="1" applyBorder="1" applyAlignment="1">
      <alignment horizontal="center" vertical="center"/>
    </xf>
    <xf numFmtId="169" fontId="9" fillId="0" borderId="10" xfId="0" applyNumberFormat="1" applyFont="1" applyBorder="1" applyAlignment="1">
      <alignment horizontal="center" vertical="center"/>
    </xf>
    <xf numFmtId="0" fontId="1" fillId="0" borderId="23" xfId="0" applyFont="1" applyBorder="1"/>
    <xf numFmtId="0" fontId="1" fillId="0" borderId="0" xfId="0" applyFont="1"/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/>
    </xf>
    <xf numFmtId="0" fontId="1" fillId="28" borderId="39" xfId="0" applyFont="1" applyFill="1" applyBorder="1" applyAlignment="1">
      <alignment horizontal="left" vertical="center"/>
    </xf>
    <xf numFmtId="0" fontId="1" fillId="0" borderId="24" xfId="0" applyFont="1" applyBorder="1"/>
    <xf numFmtId="0" fontId="1" fillId="0" borderId="14" xfId="0" applyFont="1" applyBorder="1" applyAlignment="1">
      <alignment horizontal="left" vertical="center"/>
    </xf>
    <xf numFmtId="3" fontId="1" fillId="0" borderId="10" xfId="32" applyNumberFormat="1" applyFill="1" applyBorder="1" applyAlignment="1">
      <alignment horizontal="center" vertical="center"/>
    </xf>
    <xf numFmtId="3" fontId="1" fillId="0" borderId="17" xfId="32" applyNumberFormat="1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2" fillId="0" borderId="10" xfId="0" applyFont="1" applyBorder="1"/>
    <xf numFmtId="0" fontId="2" fillId="28" borderId="14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2" fillId="0" borderId="30" xfId="0" applyFont="1" applyBorder="1" applyAlignment="1">
      <alignment horizontal="center"/>
    </xf>
    <xf numFmtId="0" fontId="2" fillId="28" borderId="14" xfId="0" applyFont="1" applyFill="1" applyBorder="1" applyAlignment="1">
      <alignment horizontal="left" vertical="center"/>
    </xf>
    <xf numFmtId="0" fontId="2" fillId="34" borderId="14" xfId="0" applyFont="1" applyFill="1" applyBorder="1" applyAlignment="1">
      <alignment horizontal="left" vertical="center"/>
    </xf>
    <xf numFmtId="0" fontId="2" fillId="34" borderId="10" xfId="0" applyFont="1" applyFill="1" applyBorder="1" applyAlignment="1">
      <alignment horizontal="center"/>
    </xf>
    <xf numFmtId="0" fontId="1" fillId="23" borderId="0" xfId="45" applyFill="1"/>
    <xf numFmtId="0" fontId="1" fillId="0" borderId="0" xfId="45"/>
    <xf numFmtId="0" fontId="2" fillId="0" borderId="19" xfId="45" applyFont="1" applyBorder="1"/>
    <xf numFmtId="0" fontId="2" fillId="0" borderId="20" xfId="45" applyFont="1" applyBorder="1"/>
    <xf numFmtId="0" fontId="1" fillId="0" borderId="20" xfId="45" applyBorder="1"/>
    <xf numFmtId="0" fontId="1" fillId="0" borderId="21" xfId="45" applyBorder="1"/>
    <xf numFmtId="0" fontId="1" fillId="0" borderId="23" xfId="45" applyBorder="1"/>
    <xf numFmtId="0" fontId="2" fillId="0" borderId="0" xfId="45" applyFont="1"/>
    <xf numFmtId="0" fontId="1" fillId="0" borderId="22" xfId="45" applyBorder="1"/>
    <xf numFmtId="0" fontId="2" fillId="24" borderId="0" xfId="45" applyFont="1" applyFill="1" applyAlignment="1" applyProtection="1">
      <alignment horizontal="center"/>
      <protection locked="0"/>
    </xf>
    <xf numFmtId="0" fontId="2" fillId="24" borderId="66" xfId="45" applyFont="1" applyFill="1" applyBorder="1" applyAlignment="1" applyProtection="1">
      <alignment horizontal="center"/>
      <protection locked="0"/>
    </xf>
    <xf numFmtId="0" fontId="2" fillId="28" borderId="10" xfId="45" applyFont="1" applyFill="1" applyBorder="1" applyAlignment="1">
      <alignment horizontal="center"/>
    </xf>
    <xf numFmtId="0" fontId="2" fillId="0" borderId="14" xfId="45" applyFont="1" applyBorder="1" applyAlignment="1">
      <alignment horizontal="left" vertical="center"/>
    </xf>
    <xf numFmtId="0" fontId="2" fillId="0" borderId="10" xfId="45" applyFont="1" applyBorder="1" applyAlignment="1">
      <alignment horizontal="center"/>
    </xf>
    <xf numFmtId="0" fontId="2" fillId="0" borderId="16" xfId="45" applyFont="1" applyBorder="1" applyAlignment="1">
      <alignment horizontal="left" vertical="center"/>
    </xf>
    <xf numFmtId="0" fontId="2" fillId="0" borderId="17" xfId="45" applyFont="1" applyBorder="1" applyAlignment="1">
      <alignment horizontal="center"/>
    </xf>
    <xf numFmtId="166" fontId="1" fillId="23" borderId="0" xfId="45" applyNumberFormat="1" applyFill="1"/>
    <xf numFmtId="0" fontId="1" fillId="0" borderId="25" xfId="45" applyBorder="1"/>
    <xf numFmtId="0" fontId="1" fillId="0" borderId="26" xfId="45" applyBorder="1"/>
    <xf numFmtId="0" fontId="35" fillId="0" borderId="0" xfId="45" applyFont="1" applyAlignment="1">
      <alignment horizontal="center" vertical="center" readingOrder="1"/>
    </xf>
    <xf numFmtId="0" fontId="2" fillId="0" borderId="11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/>
    </xf>
    <xf numFmtId="0" fontId="1" fillId="28" borderId="39" xfId="45" applyFill="1" applyBorder="1" applyAlignment="1">
      <alignment horizontal="left" vertical="center"/>
    </xf>
    <xf numFmtId="0" fontId="1" fillId="0" borderId="27" xfId="45" applyBorder="1" applyAlignment="1">
      <alignment horizontal="left" vertical="center"/>
    </xf>
    <xf numFmtId="2" fontId="3" fillId="0" borderId="10" xfId="45" applyNumberFormat="1" applyFont="1" applyBorder="1" applyAlignment="1">
      <alignment horizontal="center" vertical="center"/>
    </xf>
    <xf numFmtId="2" fontId="11" fillId="0" borderId="10" xfId="45" applyNumberFormat="1" applyFont="1" applyBorder="1" applyAlignment="1">
      <alignment horizontal="center" vertical="center"/>
    </xf>
    <xf numFmtId="2" fontId="1" fillId="0" borderId="10" xfId="46" applyNumberFormat="1" applyBorder="1" applyAlignment="1">
      <alignment horizontal="center" vertical="center"/>
    </xf>
    <xf numFmtId="2" fontId="1" fillId="0" borderId="10" xfId="45" applyNumberFormat="1" applyBorder="1" applyAlignment="1">
      <alignment horizontal="center" vertical="center"/>
    </xf>
    <xf numFmtId="0" fontId="1" fillId="0" borderId="10" xfId="45" applyBorder="1" applyAlignment="1">
      <alignment horizontal="center"/>
    </xf>
    <xf numFmtId="0" fontId="1" fillId="0" borderId="14" xfId="45" applyBorder="1" applyAlignment="1">
      <alignment horizontal="left" vertical="center"/>
    </xf>
    <xf numFmtId="0" fontId="1" fillId="28" borderId="14" xfId="45" applyFill="1" applyBorder="1" applyAlignment="1">
      <alignment horizontal="left" vertical="center"/>
    </xf>
    <xf numFmtId="3" fontId="1" fillId="0" borderId="10" xfId="46" applyNumberFormat="1" applyBorder="1" applyAlignment="1">
      <alignment horizontal="center" vertical="center"/>
    </xf>
    <xf numFmtId="0" fontId="2" fillId="35" borderId="14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center"/>
    </xf>
    <xf numFmtId="0" fontId="2" fillId="36" borderId="30" xfId="0" applyFont="1" applyFill="1" applyBorder="1" applyAlignment="1">
      <alignment horizontal="center"/>
    </xf>
    <xf numFmtId="0" fontId="37" fillId="27" borderId="33" xfId="0" applyFont="1" applyFill="1" applyBorder="1" applyAlignment="1">
      <alignment horizontal="center"/>
    </xf>
    <xf numFmtId="0" fontId="2" fillId="0" borderId="86" xfId="0" applyFont="1" applyBorder="1"/>
    <xf numFmtId="0" fontId="2" fillId="0" borderId="90" xfId="0" applyFont="1" applyBorder="1"/>
    <xf numFmtId="1" fontId="1" fillId="0" borderId="10" xfId="45" applyNumberFormat="1" applyBorder="1" applyAlignment="1">
      <alignment horizontal="center" vertical="center"/>
    </xf>
    <xf numFmtId="0" fontId="11" fillId="0" borderId="10" xfId="45" applyFont="1" applyBorder="1" applyAlignment="1">
      <alignment horizontal="center"/>
    </xf>
    <xf numFmtId="0" fontId="1" fillId="0" borderId="16" xfId="45" applyBorder="1" applyAlignment="1">
      <alignment horizontal="left" vertical="center"/>
    </xf>
    <xf numFmtId="0" fontId="1" fillId="0" borderId="28" xfId="45" applyBorder="1" applyAlignment="1">
      <alignment horizontal="left" vertical="center"/>
    </xf>
    <xf numFmtId="2" fontId="3" fillId="0" borderId="17" xfId="45" applyNumberFormat="1" applyFont="1" applyBorder="1" applyAlignment="1">
      <alignment horizontal="center" vertical="center"/>
    </xf>
    <xf numFmtId="0" fontId="11" fillId="0" borderId="17" xfId="45" applyFont="1" applyBorder="1" applyAlignment="1">
      <alignment horizontal="center"/>
    </xf>
    <xf numFmtId="0" fontId="1" fillId="0" borderId="17" xfId="45" applyBorder="1" applyAlignment="1">
      <alignment horizontal="center"/>
    </xf>
    <xf numFmtId="0" fontId="2" fillId="36" borderId="17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6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43" xfId="0" applyFont="1" applyBorder="1" applyAlignment="1">
      <alignment horizontal="left" vertical="center"/>
    </xf>
    <xf numFmtId="0" fontId="2" fillId="36" borderId="93" xfId="0" applyFont="1" applyFill="1" applyBorder="1" applyAlignment="1">
      <alignment horizontal="left" vertical="center"/>
    </xf>
    <xf numFmtId="0" fontId="2" fillId="0" borderId="93" xfId="0" applyFont="1" applyBorder="1" applyAlignment="1">
      <alignment horizontal="left" vertical="center"/>
    </xf>
    <xf numFmtId="0" fontId="2" fillId="36" borderId="44" xfId="0" applyFont="1" applyFill="1" applyBorder="1" applyAlignment="1">
      <alignment horizontal="left" vertical="center"/>
    </xf>
    <xf numFmtId="0" fontId="2" fillId="36" borderId="110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36" borderId="16" xfId="0" applyFont="1" applyFill="1" applyBorder="1" applyAlignment="1">
      <alignment horizontal="center"/>
    </xf>
    <xf numFmtId="166" fontId="2" fillId="25" borderId="10" xfId="0" applyNumberFormat="1" applyFont="1" applyFill="1" applyBorder="1" applyAlignment="1" applyProtection="1">
      <alignment horizontal="center"/>
      <protection hidden="1"/>
    </xf>
    <xf numFmtId="166" fontId="2" fillId="26" borderId="15" xfId="0" applyNumberFormat="1" applyFont="1" applyFill="1" applyBorder="1" applyAlignment="1" applyProtection="1">
      <alignment horizontal="center"/>
      <protection hidden="1"/>
    </xf>
    <xf numFmtId="166" fontId="2" fillId="25" borderId="17" xfId="0" applyNumberFormat="1" applyFont="1" applyFill="1" applyBorder="1" applyAlignment="1" applyProtection="1">
      <alignment horizontal="center"/>
      <protection hidden="1"/>
    </xf>
    <xf numFmtId="166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0" xfId="0" applyNumberFormat="1" applyFont="1" applyFill="1" applyBorder="1" applyAlignment="1" applyProtection="1">
      <alignment horizontal="center"/>
      <protection hidden="1"/>
    </xf>
    <xf numFmtId="166" fontId="36" fillId="25" borderId="10" xfId="0" applyNumberFormat="1" applyFont="1" applyFill="1" applyBorder="1" applyAlignment="1" applyProtection="1">
      <alignment horizontal="center"/>
      <protection hidden="1"/>
    </xf>
    <xf numFmtId="166" fontId="2" fillId="27" borderId="17" xfId="0" applyNumberFormat="1" applyFont="1" applyFill="1" applyBorder="1" applyAlignment="1" applyProtection="1">
      <alignment horizontal="center"/>
      <protection hidden="1"/>
    </xf>
    <xf numFmtId="166" fontId="2" fillId="27" borderId="10" xfId="45" applyNumberFormat="1" applyFont="1" applyFill="1" applyBorder="1" applyAlignment="1" applyProtection="1">
      <alignment horizontal="center"/>
      <protection hidden="1"/>
    </xf>
    <xf numFmtId="1" fontId="2" fillId="26" borderId="15" xfId="45" applyNumberFormat="1" applyFont="1" applyFill="1" applyBorder="1" applyAlignment="1" applyProtection="1">
      <alignment horizontal="center"/>
      <protection hidden="1"/>
    </xf>
    <xf numFmtId="166" fontId="2" fillId="27" borderId="17" xfId="45" applyNumberFormat="1" applyFont="1" applyFill="1" applyBorder="1" applyAlignment="1" applyProtection="1">
      <alignment horizontal="center"/>
      <protection hidden="1"/>
    </xf>
    <xf numFmtId="1" fontId="2" fillId="26" borderId="18" xfId="45" applyNumberFormat="1" applyFont="1" applyFill="1" applyBorder="1" applyAlignment="1" applyProtection="1">
      <alignment horizontal="center"/>
      <protection hidden="1"/>
    </xf>
    <xf numFmtId="1" fontId="2" fillId="26" borderId="15" xfId="0" applyNumberFormat="1" applyFont="1" applyFill="1" applyBorder="1" applyAlignment="1" applyProtection="1">
      <alignment horizontal="center"/>
      <protection hidden="1"/>
    </xf>
    <xf numFmtId="1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5" xfId="0" applyNumberFormat="1" applyFont="1" applyFill="1" applyBorder="1" applyAlignment="1" applyProtection="1">
      <alignment horizontal="center"/>
      <protection hidden="1"/>
    </xf>
    <xf numFmtId="166" fontId="2" fillId="27" borderId="18" xfId="0" applyNumberFormat="1" applyFont="1" applyFill="1" applyBorder="1" applyAlignment="1" applyProtection="1">
      <alignment horizontal="center"/>
      <protection hidden="1"/>
    </xf>
    <xf numFmtId="166" fontId="2" fillId="26" borderId="50" xfId="0" applyNumberFormat="1" applyFont="1" applyFill="1" applyBorder="1" applyAlignment="1" applyProtection="1">
      <alignment horizontal="center"/>
      <protection hidden="1"/>
    </xf>
    <xf numFmtId="0" fontId="2" fillId="25" borderId="66" xfId="0" applyFont="1" applyFill="1" applyBorder="1" applyAlignment="1" applyProtection="1">
      <alignment horizontal="center"/>
      <protection hidden="1"/>
    </xf>
    <xf numFmtId="167" fontId="2" fillId="25" borderId="109" xfId="35" applyNumberFormat="1" applyFont="1" applyFill="1" applyBorder="1" applyAlignment="1" applyProtection="1">
      <alignment horizontal="center"/>
      <protection hidden="1"/>
    </xf>
    <xf numFmtId="0" fontId="2" fillId="26" borderId="66" xfId="0" applyFont="1" applyFill="1" applyBorder="1" applyAlignment="1" applyProtection="1">
      <alignment horizontal="center"/>
      <protection hidden="1"/>
    </xf>
    <xf numFmtId="168" fontId="2" fillId="25" borderId="33" xfId="0" quotePrefix="1" applyNumberFormat="1" applyFont="1" applyFill="1" applyBorder="1" applyAlignment="1" applyProtection="1">
      <alignment horizontal="center"/>
      <protection hidden="1"/>
    </xf>
    <xf numFmtId="3" fontId="2" fillId="25" borderId="14" xfId="0" quotePrefix="1" applyNumberFormat="1" applyFont="1" applyFill="1" applyBorder="1" applyAlignment="1" applyProtection="1">
      <alignment horizontal="center"/>
      <protection hidden="1"/>
    </xf>
    <xf numFmtId="3" fontId="2" fillId="25" borderId="10" xfId="0" quotePrefix="1" applyNumberFormat="1" applyFont="1" applyFill="1" applyBorder="1" applyAlignment="1" applyProtection="1">
      <alignment horizontal="center"/>
      <protection hidden="1"/>
    </xf>
    <xf numFmtId="168" fontId="2" fillId="25" borderId="15" xfId="0" quotePrefix="1" applyNumberFormat="1" applyFont="1" applyFill="1" applyBorder="1" applyAlignment="1" applyProtection="1">
      <alignment horizontal="center"/>
      <protection hidden="1"/>
    </xf>
    <xf numFmtId="167" fontId="2" fillId="25" borderId="92" xfId="0" quotePrefix="1" applyNumberFormat="1" applyFont="1" applyFill="1" applyBorder="1" applyAlignment="1" applyProtection="1">
      <alignment horizontal="center"/>
      <protection hidden="1"/>
    </xf>
    <xf numFmtId="168" fontId="2" fillId="25" borderId="51" xfId="0" quotePrefix="1" applyNumberFormat="1" applyFont="1" applyFill="1" applyBorder="1" applyAlignment="1" applyProtection="1">
      <alignment horizontal="center"/>
      <protection hidden="1"/>
    </xf>
    <xf numFmtId="1" fontId="2" fillId="25" borderId="16" xfId="0" quotePrefix="1" applyNumberFormat="1" applyFont="1" applyFill="1" applyBorder="1" applyAlignment="1" applyProtection="1">
      <alignment horizontal="center"/>
      <protection hidden="1"/>
    </xf>
    <xf numFmtId="1" fontId="2" fillId="25" borderId="17" xfId="0" quotePrefix="1" applyNumberFormat="1" applyFont="1" applyFill="1" applyBorder="1" applyAlignment="1" applyProtection="1">
      <alignment horizontal="center"/>
      <protection hidden="1"/>
    </xf>
    <xf numFmtId="166" fontId="2" fillId="25" borderId="17" xfId="0" quotePrefix="1" applyNumberFormat="1" applyFont="1" applyFill="1" applyBorder="1" applyAlignment="1" applyProtection="1">
      <alignment horizontal="center"/>
      <protection hidden="1"/>
    </xf>
    <xf numFmtId="168" fontId="2" fillId="25" borderId="18" xfId="0" quotePrefix="1" applyNumberFormat="1" applyFont="1" applyFill="1" applyBorder="1" applyAlignment="1" applyProtection="1">
      <alignment horizontal="center"/>
      <protection hidden="1"/>
    </xf>
    <xf numFmtId="167" fontId="2" fillId="25" borderId="95" xfId="0" quotePrefix="1" applyNumberFormat="1" applyFont="1" applyFill="1" applyBorder="1" applyAlignment="1" applyProtection="1">
      <alignment horizontal="center"/>
      <protection hidden="1"/>
    </xf>
    <xf numFmtId="3" fontId="2" fillId="25" borderId="97" xfId="0" applyNumberFormat="1" applyFont="1" applyFill="1" applyBorder="1" applyAlignment="1" applyProtection="1">
      <alignment horizontal="left"/>
      <protection hidden="1"/>
    </xf>
    <xf numFmtId="3" fontId="2" fillId="25" borderId="96" xfId="0" applyNumberFormat="1" applyFont="1" applyFill="1" applyBorder="1" applyAlignment="1" applyProtection="1">
      <alignment horizontal="left"/>
      <protection hidden="1"/>
    </xf>
    <xf numFmtId="166" fontId="2" fillId="27" borderId="30" xfId="0" applyNumberFormat="1" applyFont="1" applyFill="1" applyBorder="1" applyAlignment="1" applyProtection="1">
      <alignment horizontal="center"/>
      <protection hidden="1"/>
    </xf>
    <xf numFmtId="166" fontId="2" fillId="26" borderId="112" xfId="0" applyNumberFormat="1" applyFont="1" applyFill="1" applyBorder="1" applyAlignment="1" applyProtection="1">
      <alignment horizontal="center"/>
      <protection hidden="1"/>
    </xf>
    <xf numFmtId="166" fontId="2" fillId="26" borderId="32" xfId="0" applyNumberFormat="1" applyFont="1" applyFill="1" applyBorder="1" applyAlignment="1" applyProtection="1">
      <alignment horizontal="center"/>
      <protection hidden="1"/>
    </xf>
    <xf numFmtId="166" fontId="2" fillId="26" borderId="113" xfId="0" applyNumberFormat="1" applyFont="1" applyFill="1" applyBorder="1" applyAlignment="1" applyProtection="1">
      <alignment horizontal="center"/>
      <protection hidden="1"/>
    </xf>
    <xf numFmtId="0" fontId="2" fillId="0" borderId="42" xfId="45" applyFont="1" applyBorder="1" applyAlignment="1">
      <alignment horizontal="center" vertical="center"/>
    </xf>
    <xf numFmtId="0" fontId="1" fillId="28" borderId="14" xfId="0" applyFont="1" applyFill="1" applyBorder="1" applyAlignment="1">
      <alignment horizontal="left" vertical="center"/>
    </xf>
    <xf numFmtId="0" fontId="1" fillId="28" borderId="16" xfId="0" applyFont="1" applyFill="1" applyBorder="1" applyAlignment="1">
      <alignment horizontal="left" vertical="center"/>
    </xf>
    <xf numFmtId="0" fontId="1" fillId="0" borderId="106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36" fillId="0" borderId="23" xfId="0" applyFont="1" applyBorder="1"/>
    <xf numFmtId="0" fontId="1" fillId="0" borderId="90" xfId="45" applyBorder="1" applyAlignment="1">
      <alignment horizontal="left" vertical="center"/>
    </xf>
    <xf numFmtId="0" fontId="2" fillId="34" borderId="14" xfId="45" applyFont="1" applyFill="1" applyBorder="1" applyAlignment="1">
      <alignment horizontal="left" vertical="center"/>
    </xf>
    <xf numFmtId="0" fontId="5" fillId="35" borderId="23" xfId="45" applyFont="1" applyFill="1" applyBorder="1" applyAlignment="1">
      <alignment horizontal="center"/>
    </xf>
    <xf numFmtId="0" fontId="5" fillId="35" borderId="0" xfId="45" applyFont="1" applyFill="1" applyAlignment="1">
      <alignment horizontal="center"/>
    </xf>
    <xf numFmtId="0" fontId="5" fillId="35" borderId="22" xfId="45" applyFont="1" applyFill="1" applyBorder="1" applyAlignment="1">
      <alignment horizontal="center"/>
    </xf>
    <xf numFmtId="0" fontId="0" fillId="35" borderId="23" xfId="0" applyFill="1" applyBorder="1"/>
    <xf numFmtId="0" fontId="0" fillId="35" borderId="0" xfId="0" applyFill="1"/>
    <xf numFmtId="0" fontId="0" fillId="35" borderId="0" xfId="0" applyFill="1" applyAlignment="1">
      <alignment horizontal="left"/>
    </xf>
    <xf numFmtId="0" fontId="0" fillId="35" borderId="22" xfId="0" applyFill="1" applyBorder="1"/>
    <xf numFmtId="0" fontId="2" fillId="35" borderId="23" xfId="0" applyFont="1" applyFill="1" applyBorder="1"/>
    <xf numFmtId="0" fontId="2" fillId="35" borderId="0" xfId="0" applyFont="1" applyFill="1" applyAlignment="1">
      <alignment horizontal="left"/>
    </xf>
    <xf numFmtId="0" fontId="2" fillId="35" borderId="0" xfId="0" applyFont="1" applyFill="1" applyAlignment="1" applyProtection="1">
      <alignment horizontal="center"/>
      <protection locked="0"/>
    </xf>
    <xf numFmtId="166" fontId="2" fillId="38" borderId="0" xfId="0" applyNumberFormat="1" applyFont="1" applyFill="1" applyAlignment="1" applyProtection="1">
      <alignment horizontal="center"/>
      <protection hidden="1"/>
    </xf>
    <xf numFmtId="0" fontId="2" fillId="0" borderId="39" xfId="0" applyFont="1" applyBorder="1" applyAlignment="1">
      <alignment horizontal="center" vertical="center"/>
    </xf>
    <xf numFmtId="0" fontId="2" fillId="36" borderId="118" xfId="0" applyFont="1" applyFill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36" borderId="48" xfId="0" applyFill="1" applyBorder="1" applyAlignment="1">
      <alignment horizontal="center"/>
    </xf>
    <xf numFmtId="0" fontId="0" fillId="36" borderId="119" xfId="0" applyFill="1" applyBorder="1" applyAlignment="1">
      <alignment horizontal="center"/>
    </xf>
    <xf numFmtId="0" fontId="0" fillId="36" borderId="124" xfId="0" applyFill="1" applyBorder="1" applyAlignment="1">
      <alignment horizontal="center"/>
    </xf>
    <xf numFmtId="0" fontId="0" fillId="0" borderId="121" xfId="0" applyBorder="1" applyAlignment="1">
      <alignment horizontal="center"/>
    </xf>
    <xf numFmtId="0" fontId="0" fillId="36" borderId="125" xfId="0" applyFill="1" applyBorder="1" applyAlignment="1">
      <alignment horizontal="center"/>
    </xf>
    <xf numFmtId="2" fontId="41" fillId="0" borderId="125" xfId="0" applyNumberFormat="1" applyFont="1" applyBorder="1" applyAlignment="1">
      <alignment horizontal="center"/>
    </xf>
    <xf numFmtId="2" fontId="41" fillId="0" borderId="119" xfId="0" applyNumberFormat="1" applyFont="1" applyBorder="1" applyAlignment="1">
      <alignment horizontal="center" vertical="center"/>
    </xf>
    <xf numFmtId="2" fontId="41" fillId="36" borderId="125" xfId="0" applyNumberFormat="1" applyFont="1" applyFill="1" applyBorder="1" applyAlignment="1">
      <alignment horizontal="center"/>
    </xf>
    <xf numFmtId="166" fontId="41" fillId="36" borderId="119" xfId="0" applyNumberFormat="1" applyFont="1" applyFill="1" applyBorder="1" applyAlignment="1">
      <alignment horizontal="center" vertical="center"/>
    </xf>
    <xf numFmtId="2" fontId="41" fillId="0" borderId="121" xfId="0" applyNumberFormat="1" applyFont="1" applyBorder="1" applyAlignment="1">
      <alignment horizontal="center"/>
    </xf>
    <xf numFmtId="166" fontId="41" fillId="0" borderId="119" xfId="0" applyNumberFormat="1" applyFont="1" applyBorder="1" applyAlignment="1">
      <alignment horizontal="center" vertical="center"/>
    </xf>
    <xf numFmtId="166" fontId="41" fillId="36" borderId="125" xfId="0" applyNumberFormat="1" applyFont="1" applyFill="1" applyBorder="1" applyAlignment="1">
      <alignment horizontal="center"/>
    </xf>
    <xf numFmtId="166" fontId="41" fillId="0" borderId="121" xfId="0" applyNumberFormat="1" applyFont="1" applyBorder="1" applyAlignment="1">
      <alignment horizontal="center"/>
    </xf>
    <xf numFmtId="166" fontId="41" fillId="0" borderId="125" xfId="0" applyNumberFormat="1" applyFont="1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26" xfId="0" applyBorder="1" applyAlignment="1">
      <alignment horizontal="center"/>
    </xf>
    <xf numFmtId="0" fontId="0" fillId="0" borderId="127" xfId="0" applyBorder="1" applyAlignment="1">
      <alignment horizontal="center"/>
    </xf>
    <xf numFmtId="0" fontId="0" fillId="0" borderId="128" xfId="0" applyBorder="1" applyAlignment="1">
      <alignment horizontal="center"/>
    </xf>
    <xf numFmtId="0" fontId="0" fillId="36" borderId="126" xfId="0" applyFill="1" applyBorder="1" applyAlignment="1">
      <alignment horizontal="center"/>
    </xf>
    <xf numFmtId="0" fontId="0" fillId="36" borderId="127" xfId="0" applyFill="1" applyBorder="1" applyAlignment="1">
      <alignment horizontal="center"/>
    </xf>
    <xf numFmtId="0" fontId="0" fillId="36" borderId="129" xfId="0" applyFill="1" applyBorder="1" applyAlignment="1">
      <alignment horizontal="center"/>
    </xf>
    <xf numFmtId="0" fontId="0" fillId="0" borderId="130" xfId="0" applyBorder="1" applyAlignment="1">
      <alignment horizontal="center"/>
    </xf>
    <xf numFmtId="2" fontId="41" fillId="36" borderId="126" xfId="0" applyNumberFormat="1" applyFont="1" applyFill="1" applyBorder="1" applyAlignment="1">
      <alignment horizontal="center"/>
    </xf>
    <xf numFmtId="2" fontId="41" fillId="36" borderId="127" xfId="0" applyNumberFormat="1" applyFont="1" applyFill="1" applyBorder="1" applyAlignment="1">
      <alignment horizontal="center" vertical="center"/>
    </xf>
    <xf numFmtId="0" fontId="2" fillId="35" borderId="25" xfId="0" applyFont="1" applyFill="1" applyBorder="1" applyAlignment="1">
      <alignment horizontal="left"/>
    </xf>
    <xf numFmtId="0" fontId="0" fillId="35" borderId="25" xfId="0" applyFill="1" applyBorder="1"/>
    <xf numFmtId="0" fontId="0" fillId="35" borderId="26" xfId="0" applyFill="1" applyBorder="1"/>
    <xf numFmtId="0" fontId="2" fillId="0" borderId="119" xfId="0" applyFont="1" applyBorder="1" applyAlignment="1">
      <alignment horizontal="center"/>
    </xf>
    <xf numFmtId="0" fontId="2" fillId="27" borderId="119" xfId="0" applyFont="1" applyFill="1" applyBorder="1" applyAlignment="1">
      <alignment horizontal="center"/>
    </xf>
    <xf numFmtId="0" fontId="2" fillId="28" borderId="118" xfId="0" applyFont="1" applyFill="1" applyBorder="1" applyAlignment="1">
      <alignment horizontal="left" vertical="center"/>
    </xf>
    <xf numFmtId="0" fontId="2" fillId="28" borderId="119" xfId="0" applyFont="1" applyFill="1" applyBorder="1" applyAlignment="1">
      <alignment horizontal="center"/>
    </xf>
    <xf numFmtId="166" fontId="2" fillId="27" borderId="119" xfId="0" applyNumberFormat="1" applyFont="1" applyFill="1" applyBorder="1" applyAlignment="1" applyProtection="1">
      <alignment horizontal="center"/>
      <protection hidden="1"/>
    </xf>
    <xf numFmtId="0" fontId="2" fillId="0" borderId="118" xfId="0" applyFont="1" applyBorder="1" applyAlignment="1">
      <alignment horizontal="left" vertical="center"/>
    </xf>
    <xf numFmtId="0" fontId="2" fillId="34" borderId="118" xfId="0" applyFont="1" applyFill="1" applyBorder="1" applyAlignment="1">
      <alignment horizontal="left" vertical="center"/>
    </xf>
    <xf numFmtId="0" fontId="2" fillId="34" borderId="119" xfId="0" applyFont="1" applyFill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2" fillId="0" borderId="129" xfId="0" applyFont="1" applyBorder="1" applyAlignment="1">
      <alignment horizontal="center"/>
    </xf>
    <xf numFmtId="0" fontId="2" fillId="0" borderId="125" xfId="0" applyFont="1" applyBorder="1" applyAlignment="1">
      <alignment horizontal="center"/>
    </xf>
    <xf numFmtId="0" fontId="2" fillId="0" borderId="124" xfId="0" applyFont="1" applyBorder="1" applyAlignment="1">
      <alignment horizontal="center"/>
    </xf>
    <xf numFmtId="3" fontId="2" fillId="28" borderId="125" xfId="0" applyNumberFormat="1" applyFont="1" applyFill="1" applyBorder="1" applyAlignment="1">
      <alignment horizontal="center"/>
    </xf>
    <xf numFmtId="0" fontId="2" fillId="28" borderId="124" xfId="0" applyFont="1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3" fontId="2" fillId="28" borderId="83" xfId="0" applyNumberFormat="1" applyFont="1" applyFill="1" applyBorder="1" applyAlignment="1">
      <alignment horizontal="center"/>
    </xf>
    <xf numFmtId="3" fontId="2" fillId="28" borderId="126" xfId="0" applyNumberFormat="1" applyFont="1" applyFill="1" applyBorder="1" applyAlignment="1">
      <alignment horizontal="center"/>
    </xf>
    <xf numFmtId="3" fontId="2" fillId="28" borderId="81" xfId="0" applyNumberFormat="1" applyFont="1" applyFill="1" applyBorder="1" applyAlignment="1">
      <alignment horizontal="center"/>
    </xf>
    <xf numFmtId="0" fontId="2" fillId="35" borderId="0" xfId="0" applyFont="1" applyFill="1" applyAlignment="1">
      <alignment horizontal="center"/>
    </xf>
    <xf numFmtId="0" fontId="2" fillId="35" borderId="0" xfId="0" applyFont="1" applyFill="1"/>
    <xf numFmtId="0" fontId="2" fillId="0" borderId="137" xfId="0" applyFont="1" applyBorder="1" applyAlignment="1">
      <alignment horizontal="center"/>
    </xf>
    <xf numFmtId="0" fontId="0" fillId="0" borderId="139" xfId="0" applyBorder="1" applyAlignment="1">
      <alignment horizontal="center"/>
    </xf>
    <xf numFmtId="0" fontId="0" fillId="0" borderId="13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7" xfId="0" applyBorder="1" applyAlignment="1">
      <alignment horizontal="center"/>
    </xf>
    <xf numFmtId="0" fontId="2" fillId="0" borderId="23" xfId="0" applyFont="1" applyBorder="1" applyAlignment="1">
      <alignment horizontal="right"/>
    </xf>
    <xf numFmtId="0" fontId="2" fillId="24" borderId="137" xfId="0" applyFont="1" applyFill="1" applyBorder="1" applyAlignment="1" applyProtection="1">
      <alignment horizontal="center"/>
      <protection locked="0"/>
    </xf>
    <xf numFmtId="0" fontId="2" fillId="26" borderId="13" xfId="0" applyFont="1" applyFill="1" applyBorder="1" applyAlignment="1">
      <alignment horizontal="center"/>
    </xf>
    <xf numFmtId="0" fontId="2" fillId="26" borderId="139" xfId="0" applyFont="1" applyFill="1" applyBorder="1" applyAlignment="1">
      <alignment horizontal="center"/>
    </xf>
    <xf numFmtId="0" fontId="2" fillId="28" borderId="136" xfId="0" applyFont="1" applyFill="1" applyBorder="1" applyAlignment="1">
      <alignment horizontal="left" vertical="center"/>
    </xf>
    <xf numFmtId="1" fontId="2" fillId="26" borderId="139" xfId="0" applyNumberFormat="1" applyFont="1" applyFill="1" applyBorder="1" applyAlignment="1" applyProtection="1">
      <alignment horizontal="center"/>
      <protection hidden="1"/>
    </xf>
    <xf numFmtId="0" fontId="2" fillId="0" borderId="136" xfId="0" applyFont="1" applyBorder="1" applyAlignment="1">
      <alignment horizontal="left" vertical="center"/>
    </xf>
    <xf numFmtId="0" fontId="42" fillId="0" borderId="0" xfId="0" applyFont="1"/>
    <xf numFmtId="0" fontId="2" fillId="34" borderId="136" xfId="0" applyFont="1" applyFill="1" applyBorder="1" applyAlignment="1">
      <alignment horizontal="left" vertical="center"/>
    </xf>
    <xf numFmtId="1" fontId="2" fillId="26" borderId="143" xfId="0" applyNumberFormat="1" applyFont="1" applyFill="1" applyBorder="1" applyAlignment="1" applyProtection="1">
      <alignment horizontal="center"/>
      <protection hidden="1"/>
    </xf>
    <xf numFmtId="0" fontId="0" fillId="0" borderId="144" xfId="0" applyBorder="1" applyAlignment="1">
      <alignment horizontal="center"/>
    </xf>
    <xf numFmtId="0" fontId="0" fillId="0" borderId="145" xfId="0" applyBorder="1" applyAlignment="1">
      <alignment horizontal="center"/>
    </xf>
    <xf numFmtId="2" fontId="0" fillId="0" borderId="145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5" xfId="0" applyBorder="1" applyAlignment="1">
      <alignment horizontal="center"/>
    </xf>
    <xf numFmtId="170" fontId="0" fillId="0" borderId="145" xfId="0" applyNumberFormat="1" applyBorder="1" applyAlignment="1">
      <alignment horizontal="center"/>
    </xf>
    <xf numFmtId="0" fontId="0" fillId="0" borderId="146" xfId="0" applyBorder="1" applyAlignment="1">
      <alignment horizontal="center"/>
    </xf>
    <xf numFmtId="2" fontId="0" fillId="0" borderId="147" xfId="0" applyNumberFormat="1" applyBorder="1" applyAlignment="1">
      <alignment horizontal="center"/>
    </xf>
    <xf numFmtId="0" fontId="0" fillId="0" borderId="148" xfId="0" applyBorder="1"/>
    <xf numFmtId="0" fontId="0" fillId="0" borderId="137" xfId="0" applyBorder="1"/>
    <xf numFmtId="0" fontId="0" fillId="0" borderId="60" xfId="0" applyBorder="1" applyAlignment="1">
      <alignment horizontal="center"/>
    </xf>
    <xf numFmtId="1" fontId="0" fillId="0" borderId="141" xfId="0" applyNumberFormat="1" applyBorder="1" applyAlignment="1">
      <alignment horizontal="center"/>
    </xf>
    <xf numFmtId="0" fontId="0" fillId="0" borderId="140" xfId="0" applyBorder="1" applyAlignment="1">
      <alignment horizontal="center"/>
    </xf>
    <xf numFmtId="1" fontId="0" fillId="0" borderId="140" xfId="0" applyNumberFormat="1" applyBorder="1" applyAlignment="1">
      <alignment horizontal="center"/>
    </xf>
    <xf numFmtId="1" fontId="0" fillId="0" borderId="139" xfId="0" applyNumberFormat="1" applyBorder="1" applyAlignment="1">
      <alignment horizontal="center"/>
    </xf>
    <xf numFmtId="1" fontId="0" fillId="0" borderId="137" xfId="0" applyNumberFormat="1" applyBorder="1" applyAlignment="1">
      <alignment horizontal="center"/>
    </xf>
    <xf numFmtId="0" fontId="43" fillId="0" borderId="12" xfId="0" applyFont="1" applyBorder="1" applyAlignment="1">
      <alignment horizontal="center"/>
    </xf>
    <xf numFmtId="166" fontId="0" fillId="0" borderId="139" xfId="0" applyNumberFormat="1" applyBorder="1" applyAlignment="1">
      <alignment horizontal="center"/>
    </xf>
    <xf numFmtId="166" fontId="0" fillId="0" borderId="13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140" xfId="0" applyNumberFormat="1" applyBorder="1" applyAlignment="1">
      <alignment horizontal="center"/>
    </xf>
    <xf numFmtId="2" fontId="0" fillId="0" borderId="140" xfId="0" applyNumberFormat="1" applyBorder="1" applyAlignment="1">
      <alignment horizontal="center"/>
    </xf>
    <xf numFmtId="2" fontId="0" fillId="0" borderId="137" xfId="0" applyNumberFormat="1" applyBorder="1" applyAlignment="1">
      <alignment horizontal="center"/>
    </xf>
    <xf numFmtId="0" fontId="2" fillId="0" borderId="0" xfId="45" applyFont="1" applyAlignment="1">
      <alignment horizontal="center"/>
    </xf>
    <xf numFmtId="0" fontId="2" fillId="0" borderId="0" xfId="45" applyFont="1" applyAlignment="1">
      <alignment horizontal="left" vertical="center"/>
    </xf>
    <xf numFmtId="1" fontId="2" fillId="26" borderId="141" xfId="0" applyNumberFormat="1" applyFont="1" applyFill="1" applyBorder="1" applyAlignment="1" applyProtection="1">
      <alignment horizontal="center"/>
      <protection hidden="1"/>
    </xf>
    <xf numFmtId="0" fontId="2" fillId="0" borderId="140" xfId="45" applyFont="1" applyBorder="1" applyAlignment="1">
      <alignment horizontal="center"/>
    </xf>
    <xf numFmtId="0" fontId="2" fillId="28" borderId="137" xfId="45" applyFont="1" applyFill="1" applyBorder="1" applyAlignment="1">
      <alignment horizontal="center"/>
    </xf>
    <xf numFmtId="0" fontId="2" fillId="34" borderId="136" xfId="45" applyFont="1" applyFill="1" applyBorder="1" applyAlignment="1">
      <alignment horizontal="left" vertical="center"/>
    </xf>
    <xf numFmtId="0" fontId="2" fillId="0" borderId="137" xfId="45" applyFont="1" applyBorder="1" applyAlignment="1">
      <alignment horizontal="center"/>
    </xf>
    <xf numFmtId="0" fontId="2" fillId="0" borderId="136" xfId="45" applyFont="1" applyBorder="1" applyAlignment="1">
      <alignment horizontal="left" vertical="center"/>
    </xf>
    <xf numFmtId="166" fontId="2" fillId="26" borderId="139" xfId="0" applyNumberFormat="1" applyFont="1" applyFill="1" applyBorder="1" applyAlignment="1" applyProtection="1">
      <alignment horizontal="center"/>
      <protection hidden="1"/>
    </xf>
    <xf numFmtId="0" fontId="2" fillId="34" borderId="137" xfId="45" applyFont="1" applyFill="1" applyBorder="1" applyAlignment="1">
      <alignment horizontal="center"/>
    </xf>
    <xf numFmtId="0" fontId="1" fillId="35" borderId="23" xfId="45" applyFill="1" applyBorder="1"/>
    <xf numFmtId="0" fontId="1" fillId="35" borderId="0" xfId="45" applyFill="1"/>
    <xf numFmtId="0" fontId="1" fillId="35" borderId="0" xfId="45" applyFill="1" applyAlignment="1">
      <alignment horizontal="left"/>
    </xf>
    <xf numFmtId="0" fontId="1" fillId="35" borderId="22" xfId="45" applyFill="1" applyBorder="1"/>
    <xf numFmtId="0" fontId="2" fillId="35" borderId="23" xfId="45" applyFont="1" applyFill="1" applyBorder="1"/>
    <xf numFmtId="0" fontId="2" fillId="0" borderId="0" xfId="45" applyFont="1" applyAlignment="1">
      <alignment horizontal="right"/>
    </xf>
    <xf numFmtId="0" fontId="2" fillId="0" borderId="0" xfId="45" applyFont="1" applyAlignment="1">
      <alignment horizontal="left"/>
    </xf>
    <xf numFmtId="0" fontId="2" fillId="35" borderId="0" xfId="45" applyFont="1" applyFill="1" applyAlignment="1">
      <alignment horizontal="right"/>
    </xf>
    <xf numFmtId="0" fontId="2" fillId="35" borderId="0" xfId="45" applyFont="1" applyFill="1" applyAlignment="1">
      <alignment horizontal="center"/>
    </xf>
    <xf numFmtId="0" fontId="2" fillId="35" borderId="0" xfId="45" applyFont="1" applyFill="1" applyAlignment="1">
      <alignment horizontal="left"/>
    </xf>
    <xf numFmtId="0" fontId="2" fillId="36" borderId="136" xfId="45" applyFont="1" applyFill="1" applyBorder="1" applyAlignment="1">
      <alignment horizontal="center"/>
    </xf>
    <xf numFmtId="0" fontId="2" fillId="0" borderId="136" xfId="45" applyFont="1" applyBorder="1" applyAlignment="1">
      <alignment horizontal="center"/>
    </xf>
    <xf numFmtId="0" fontId="2" fillId="0" borderId="16" xfId="45" applyFont="1" applyBorder="1" applyAlignment="1">
      <alignment horizontal="center"/>
    </xf>
    <xf numFmtId="0" fontId="1" fillId="35" borderId="25" xfId="45" applyFill="1" applyBorder="1"/>
    <xf numFmtId="0" fontId="1" fillId="35" borderId="26" xfId="45" applyFill="1" applyBorder="1"/>
    <xf numFmtId="0" fontId="1" fillId="0" borderId="0" xfId="45" applyAlignment="1">
      <alignment horizontal="left"/>
    </xf>
    <xf numFmtId="0" fontId="1" fillId="0" borderId="11" xfId="45" applyBorder="1"/>
    <xf numFmtId="0" fontId="1" fillId="0" borderId="136" xfId="45" applyBorder="1" applyAlignment="1">
      <alignment horizontal="center"/>
    </xf>
    <xf numFmtId="0" fontId="1" fillId="0" borderId="137" xfId="45" applyBorder="1" applyAlignment="1">
      <alignment horizontal="center"/>
    </xf>
    <xf numFmtId="0" fontId="1" fillId="36" borderId="137" xfId="45" applyFill="1" applyBorder="1" applyAlignment="1">
      <alignment horizontal="center"/>
    </xf>
    <xf numFmtId="0" fontId="1" fillId="36" borderId="139" xfId="45" applyFill="1" applyBorder="1" applyAlignment="1">
      <alignment horizontal="center"/>
    </xf>
    <xf numFmtId="0" fontId="1" fillId="0" borderId="0" xfId="45" applyAlignment="1">
      <alignment horizontal="center"/>
    </xf>
    <xf numFmtId="2" fontId="41" fillId="0" borderId="137" xfId="45" applyNumberFormat="1" applyFont="1" applyBorder="1" applyAlignment="1">
      <alignment horizontal="center"/>
    </xf>
    <xf numFmtId="2" fontId="41" fillId="0" borderId="137" xfId="45" applyNumberFormat="1" applyFont="1" applyBorder="1" applyAlignment="1">
      <alignment horizontal="center" vertical="center"/>
    </xf>
    <xf numFmtId="2" fontId="41" fillId="36" borderId="137" xfId="45" applyNumberFormat="1" applyFont="1" applyFill="1" applyBorder="1" applyAlignment="1">
      <alignment horizontal="center"/>
    </xf>
    <xf numFmtId="166" fontId="41" fillId="36" borderId="137" xfId="45" applyNumberFormat="1" applyFont="1" applyFill="1" applyBorder="1" applyAlignment="1">
      <alignment horizontal="center" vertical="center"/>
    </xf>
    <xf numFmtId="166" fontId="41" fillId="0" borderId="137" xfId="45" applyNumberFormat="1" applyFont="1" applyBorder="1" applyAlignment="1">
      <alignment horizontal="center" vertical="center"/>
    </xf>
    <xf numFmtId="2" fontId="41" fillId="0" borderId="132" xfId="0" applyNumberFormat="1" applyFont="1" applyBorder="1" applyAlignment="1">
      <alignment horizontal="center"/>
    </xf>
    <xf numFmtId="166" fontId="41" fillId="0" borderId="137" xfId="0" applyNumberFormat="1" applyFont="1" applyBorder="1" applyAlignment="1">
      <alignment horizontal="center" vertical="center"/>
    </xf>
    <xf numFmtId="166" fontId="41" fillId="36" borderId="139" xfId="45" applyNumberFormat="1" applyFont="1" applyFill="1" applyBorder="1" applyAlignment="1">
      <alignment horizontal="center" vertical="center"/>
    </xf>
    <xf numFmtId="166" fontId="41" fillId="36" borderId="137" xfId="45" applyNumberFormat="1" applyFont="1" applyFill="1" applyBorder="1" applyAlignment="1">
      <alignment horizontal="center"/>
    </xf>
    <xf numFmtId="166" fontId="41" fillId="0" borderId="132" xfId="0" applyNumberFormat="1" applyFont="1" applyBorder="1" applyAlignment="1">
      <alignment horizontal="center"/>
    </xf>
    <xf numFmtId="166" fontId="41" fillId="0" borderId="137" xfId="45" applyNumberFormat="1" applyFont="1" applyBorder="1" applyAlignment="1">
      <alignment horizontal="center"/>
    </xf>
    <xf numFmtId="0" fontId="1" fillId="0" borderId="137" xfId="45" applyBorder="1" applyAlignment="1">
      <alignment horizontal="left"/>
    </xf>
    <xf numFmtId="0" fontId="1" fillId="0" borderId="137" xfId="45" applyBorder="1"/>
    <xf numFmtId="0" fontId="1" fillId="0" borderId="16" xfId="45" applyBorder="1" applyAlignment="1">
      <alignment horizontal="center"/>
    </xf>
    <xf numFmtId="0" fontId="1" fillId="0" borderId="140" xfId="45" applyBorder="1" applyAlignment="1">
      <alignment horizontal="center"/>
    </xf>
    <xf numFmtId="0" fontId="1" fillId="0" borderId="140" xfId="45" applyBorder="1" applyAlignment="1">
      <alignment horizontal="left"/>
    </xf>
    <xf numFmtId="0" fontId="1" fillId="0" borderId="140" xfId="45" applyBorder="1"/>
    <xf numFmtId="2" fontId="41" fillId="36" borderId="140" xfId="45" applyNumberFormat="1" applyFont="1" applyFill="1" applyBorder="1" applyAlignment="1">
      <alignment horizontal="center"/>
    </xf>
    <xf numFmtId="2" fontId="41" fillId="36" borderId="141" xfId="45" applyNumberFormat="1" applyFont="1" applyFill="1" applyBorder="1" applyAlignment="1">
      <alignment horizontal="center" vertical="center"/>
    </xf>
    <xf numFmtId="0" fontId="1" fillId="0" borderId="149" xfId="45" applyBorder="1" applyAlignment="1">
      <alignment horizontal="center"/>
    </xf>
    <xf numFmtId="0" fontId="2" fillId="35" borderId="19" xfId="0" applyFont="1" applyFill="1" applyBorder="1"/>
    <xf numFmtId="0" fontId="2" fillId="35" borderId="20" xfId="0" applyFont="1" applyFill="1" applyBorder="1"/>
    <xf numFmtId="0" fontId="0" fillId="35" borderId="20" xfId="0" applyFill="1" applyBorder="1"/>
    <xf numFmtId="0" fontId="0" fillId="35" borderId="21" xfId="0" applyFill="1" applyBorder="1"/>
    <xf numFmtId="166" fontId="0" fillId="35" borderId="0" xfId="0" applyNumberFormat="1" applyFill="1"/>
    <xf numFmtId="0" fontId="0" fillId="35" borderId="24" xfId="0" applyFill="1" applyBorder="1"/>
    <xf numFmtId="166" fontId="0" fillId="0" borderId="150" xfId="0" applyNumberFormat="1" applyBorder="1" applyAlignment="1">
      <alignment horizontal="center"/>
    </xf>
    <xf numFmtId="166" fontId="0" fillId="0" borderId="151" xfId="0" applyNumberFormat="1" applyBorder="1" applyAlignment="1">
      <alignment horizontal="center"/>
    </xf>
    <xf numFmtId="1" fontId="0" fillId="0" borderId="150" xfId="0" applyNumberFormat="1" applyBorder="1" applyAlignment="1">
      <alignment horizontal="center"/>
    </xf>
    <xf numFmtId="1" fontId="0" fillId="0" borderId="151" xfId="0" applyNumberFormat="1" applyBorder="1" applyAlignment="1">
      <alignment horizontal="center"/>
    </xf>
    <xf numFmtId="2" fontId="0" fillId="0" borderId="139" xfId="0" applyNumberFormat="1" applyBorder="1" applyAlignment="1">
      <alignment horizontal="center"/>
    </xf>
    <xf numFmtId="2" fontId="0" fillId="0" borderId="141" xfId="0" applyNumberFormat="1" applyBorder="1" applyAlignment="1">
      <alignment horizontal="center"/>
    </xf>
    <xf numFmtId="0" fontId="0" fillId="0" borderId="152" xfId="0" applyBorder="1" applyAlignment="1">
      <alignment horizontal="center"/>
    </xf>
    <xf numFmtId="0" fontId="0" fillId="0" borderId="153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56" xfId="0" applyBorder="1" applyAlignment="1">
      <alignment horizontal="center"/>
    </xf>
    <xf numFmtId="0" fontId="0" fillId="0" borderId="154" xfId="0" applyBorder="1" applyAlignment="1">
      <alignment horizontal="center"/>
    </xf>
    <xf numFmtId="0" fontId="0" fillId="0" borderId="157" xfId="0" applyBorder="1" applyAlignment="1">
      <alignment horizontal="center"/>
    </xf>
    <xf numFmtId="0" fontId="38" fillId="0" borderId="138" xfId="0" applyFont="1" applyBorder="1" applyAlignment="1">
      <alignment horizontal="center"/>
    </xf>
    <xf numFmtId="0" fontId="1" fillId="0" borderId="152" xfId="0" applyFont="1" applyBorder="1" applyAlignment="1">
      <alignment horizontal="center"/>
    </xf>
    <xf numFmtId="0" fontId="0" fillId="40" borderId="153" xfId="0" applyFill="1" applyBorder="1" applyAlignment="1">
      <alignment horizontal="center"/>
    </xf>
    <xf numFmtId="0" fontId="0" fillId="40" borderId="154" xfId="0" applyFill="1" applyBorder="1" applyAlignment="1">
      <alignment horizontal="center"/>
    </xf>
    <xf numFmtId="166" fontId="2" fillId="27" borderId="163" xfId="0" applyNumberFormat="1" applyFont="1" applyFill="1" applyBorder="1" applyAlignment="1" applyProtection="1">
      <alignment horizontal="center"/>
      <protection hidden="1"/>
    </xf>
    <xf numFmtId="166" fontId="2" fillId="27" borderId="164" xfId="0" applyNumberFormat="1" applyFont="1" applyFill="1" applyBorder="1" applyAlignment="1" applyProtection="1">
      <alignment horizontal="center"/>
      <protection hidden="1"/>
    </xf>
    <xf numFmtId="1" fontId="2" fillId="26" borderId="164" xfId="0" applyNumberFormat="1" applyFont="1" applyFill="1" applyBorder="1" applyAlignment="1" applyProtection="1">
      <alignment horizontal="center"/>
      <protection hidden="1"/>
    </xf>
    <xf numFmtId="0" fontId="0" fillId="0" borderId="161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64" xfId="0" applyBorder="1" applyAlignment="1">
      <alignment horizontal="center"/>
    </xf>
    <xf numFmtId="0" fontId="0" fillId="40" borderId="162" xfId="0" applyFill="1" applyBorder="1" applyAlignment="1">
      <alignment horizontal="center"/>
    </xf>
    <xf numFmtId="0" fontId="0" fillId="0" borderId="166" xfId="0" applyBorder="1" applyAlignment="1">
      <alignment horizontal="center"/>
    </xf>
    <xf numFmtId="0" fontId="0" fillId="40" borderId="166" xfId="0" applyFill="1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3" xfId="0" applyBorder="1" applyAlignment="1">
      <alignment horizontal="center"/>
    </xf>
    <xf numFmtId="0" fontId="0" fillId="40" borderId="168" xfId="0" applyFill="1" applyBorder="1" applyAlignment="1">
      <alignment horizontal="center"/>
    </xf>
    <xf numFmtId="0" fontId="0" fillId="40" borderId="169" xfId="0" applyFill="1" applyBorder="1" applyAlignment="1">
      <alignment horizontal="center"/>
    </xf>
    <xf numFmtId="0" fontId="0" fillId="40" borderId="170" xfId="0" applyFill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40" borderId="171" xfId="0" applyFill="1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72" xfId="0" applyBorder="1" applyAlignment="1">
      <alignment horizontal="center"/>
    </xf>
    <xf numFmtId="0" fontId="2" fillId="0" borderId="173" xfId="0" applyFont="1" applyBorder="1" applyAlignment="1">
      <alignment horizontal="center"/>
    </xf>
    <xf numFmtId="166" fontId="2" fillId="27" borderId="173" xfId="0" applyNumberFormat="1" applyFont="1" applyFill="1" applyBorder="1" applyAlignment="1" applyProtection="1">
      <alignment horizontal="center"/>
      <protection hidden="1"/>
    </xf>
    <xf numFmtId="166" fontId="2" fillId="27" borderId="174" xfId="0" applyNumberFormat="1" applyFont="1" applyFill="1" applyBorder="1" applyAlignment="1" applyProtection="1">
      <alignment horizontal="center"/>
      <protection hidden="1"/>
    </xf>
    <xf numFmtId="0" fontId="2" fillId="0" borderId="176" xfId="0" applyFont="1" applyBorder="1" applyAlignment="1">
      <alignment horizontal="center"/>
    </xf>
    <xf numFmtId="0" fontId="2" fillId="0" borderId="177" xfId="0" applyFont="1" applyBorder="1" applyAlignment="1">
      <alignment horizontal="center"/>
    </xf>
    <xf numFmtId="0" fontId="2" fillId="0" borderId="175" xfId="0" applyFont="1" applyBorder="1" applyAlignment="1">
      <alignment horizontal="left" vertical="center"/>
    </xf>
    <xf numFmtId="0" fontId="2" fillId="36" borderId="178" xfId="0" applyFont="1" applyFill="1" applyBorder="1" applyAlignment="1">
      <alignment horizontal="left" vertical="center"/>
    </xf>
    <xf numFmtId="0" fontId="2" fillId="36" borderId="179" xfId="0" applyFont="1" applyFill="1" applyBorder="1" applyAlignment="1">
      <alignment horizontal="center"/>
    </xf>
    <xf numFmtId="0" fontId="2" fillId="36" borderId="180" xfId="0" applyFont="1" applyFill="1" applyBorder="1" applyAlignment="1">
      <alignment horizontal="center"/>
    </xf>
    <xf numFmtId="0" fontId="2" fillId="0" borderId="146" xfId="0" applyFont="1" applyBorder="1" applyAlignment="1">
      <alignment horizontal="left" vertical="center"/>
    </xf>
    <xf numFmtId="0" fontId="2" fillId="0" borderId="181" xfId="0" applyFont="1" applyBorder="1" applyAlignment="1">
      <alignment horizontal="center"/>
    </xf>
    <xf numFmtId="0" fontId="2" fillId="0" borderId="182" xfId="0" applyFont="1" applyBorder="1" applyAlignment="1">
      <alignment horizontal="center"/>
    </xf>
    <xf numFmtId="0" fontId="0" fillId="35" borderId="55" xfId="0" applyFill="1" applyBorder="1"/>
    <xf numFmtId="0" fontId="0" fillId="35" borderId="45" xfId="0" applyFill="1" applyBorder="1"/>
    <xf numFmtId="0" fontId="2" fillId="35" borderId="55" xfId="0" applyFont="1" applyFill="1" applyBorder="1"/>
    <xf numFmtId="0" fontId="2" fillId="0" borderId="183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5" xfId="0" applyFont="1" applyBorder="1" applyAlignment="1">
      <alignment horizontal="center"/>
    </xf>
    <xf numFmtId="166" fontId="2" fillId="27" borderId="183" xfId="0" applyNumberFormat="1" applyFont="1" applyFill="1" applyBorder="1" applyAlignment="1" applyProtection="1">
      <alignment horizontal="center"/>
      <protection hidden="1"/>
    </xf>
    <xf numFmtId="0" fontId="2" fillId="26" borderId="184" xfId="0" applyFont="1" applyFill="1" applyBorder="1" applyAlignment="1">
      <alignment horizontal="center"/>
    </xf>
    <xf numFmtId="0" fontId="2" fillId="26" borderId="185" xfId="0" applyFont="1" applyFill="1" applyBorder="1" applyAlignment="1">
      <alignment horizontal="center"/>
    </xf>
    <xf numFmtId="0" fontId="2" fillId="26" borderId="177" xfId="0" applyFont="1" applyFill="1" applyBorder="1" applyAlignment="1">
      <alignment horizontal="center"/>
    </xf>
    <xf numFmtId="1" fontId="2" fillId="26" borderId="184" xfId="0" applyNumberFormat="1" applyFont="1" applyFill="1" applyBorder="1" applyAlignment="1" applyProtection="1">
      <alignment horizontal="center"/>
      <protection hidden="1"/>
    </xf>
    <xf numFmtId="1" fontId="2" fillId="26" borderId="185" xfId="0" applyNumberFormat="1" applyFont="1" applyFill="1" applyBorder="1" applyAlignment="1" applyProtection="1">
      <alignment horizontal="center"/>
      <protection hidden="1"/>
    </xf>
    <xf numFmtId="1" fontId="2" fillId="26" borderId="177" xfId="0" applyNumberFormat="1" applyFont="1" applyFill="1" applyBorder="1" applyAlignment="1" applyProtection="1">
      <alignment horizontal="center"/>
      <protection hidden="1"/>
    </xf>
    <xf numFmtId="1" fontId="2" fillId="26" borderId="167" xfId="0" applyNumberFormat="1" applyFont="1" applyFill="1" applyBorder="1" applyAlignment="1" applyProtection="1">
      <alignment horizontal="center"/>
      <protection hidden="1"/>
    </xf>
    <xf numFmtId="1" fontId="2" fillId="26" borderId="53" xfId="0" applyNumberFormat="1" applyFont="1" applyFill="1" applyBorder="1" applyAlignment="1" applyProtection="1">
      <alignment horizontal="center"/>
      <protection hidden="1"/>
    </xf>
    <xf numFmtId="0" fontId="2" fillId="27" borderId="184" xfId="0" applyFont="1" applyFill="1" applyBorder="1" applyAlignment="1">
      <alignment horizontal="center" wrapText="1"/>
    </xf>
    <xf numFmtId="0" fontId="2" fillId="27" borderId="183" xfId="0" applyFont="1" applyFill="1" applyBorder="1" applyAlignment="1">
      <alignment horizontal="center" wrapText="1"/>
    </xf>
    <xf numFmtId="0" fontId="2" fillId="0" borderId="186" xfId="0" applyFont="1" applyBorder="1" applyAlignment="1">
      <alignment horizontal="left" vertical="center"/>
    </xf>
    <xf numFmtId="166" fontId="2" fillId="27" borderId="184" xfId="0" applyNumberFormat="1" applyFont="1" applyFill="1" applyBorder="1" applyAlignment="1" applyProtection="1">
      <alignment horizontal="center"/>
      <protection hidden="1"/>
    </xf>
    <xf numFmtId="0" fontId="2" fillId="36" borderId="186" xfId="0" applyFont="1" applyFill="1" applyBorder="1" applyAlignment="1">
      <alignment horizontal="left" vertical="center"/>
    </xf>
    <xf numFmtId="0" fontId="2" fillId="0" borderId="187" xfId="0" applyFont="1" applyBorder="1" applyAlignment="1">
      <alignment horizontal="left" vertical="center"/>
    </xf>
    <xf numFmtId="0" fontId="0" fillId="35" borderId="59" xfId="0" applyFill="1" applyBorder="1"/>
    <xf numFmtId="0" fontId="0" fillId="35" borderId="37" xfId="0" applyFill="1" applyBorder="1"/>
    <xf numFmtId="0" fontId="0" fillId="35" borderId="54" xfId="0" applyFill="1" applyBorder="1"/>
    <xf numFmtId="0" fontId="36" fillId="39" borderId="191" xfId="0" applyFont="1" applyFill="1" applyBorder="1" applyAlignment="1">
      <alignment horizontal="center"/>
    </xf>
    <xf numFmtId="0" fontId="36" fillId="39" borderId="192" xfId="0" applyFont="1" applyFill="1" applyBorder="1" applyAlignment="1">
      <alignment horizontal="center"/>
    </xf>
    <xf numFmtId="0" fontId="36" fillId="39" borderId="194" xfId="0" applyFont="1" applyFill="1" applyBorder="1" applyAlignment="1">
      <alignment horizontal="center"/>
    </xf>
    <xf numFmtId="0" fontId="36" fillId="39" borderId="195" xfId="0" applyFont="1" applyFill="1" applyBorder="1" applyAlignment="1">
      <alignment horizontal="center"/>
    </xf>
    <xf numFmtId="0" fontId="0" fillId="0" borderId="190" xfId="0" applyBorder="1" applyAlignment="1">
      <alignment horizontal="center"/>
    </xf>
    <xf numFmtId="0" fontId="0" fillId="0" borderId="191" xfId="0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91" xfId="0" applyFont="1" applyBorder="1" applyAlignment="1">
      <alignment horizontal="center"/>
    </xf>
    <xf numFmtId="2" fontId="0" fillId="0" borderId="191" xfId="0" applyNumberFormat="1" applyBorder="1" applyAlignment="1">
      <alignment horizontal="center"/>
    </xf>
    <xf numFmtId="2" fontId="0" fillId="0" borderId="194" xfId="0" applyNumberFormat="1" applyBorder="1" applyAlignment="1">
      <alignment horizontal="center"/>
    </xf>
    <xf numFmtId="1" fontId="2" fillId="38" borderId="0" xfId="0" applyNumberFormat="1" applyFont="1" applyFill="1" applyAlignment="1" applyProtection="1">
      <alignment horizontal="center"/>
      <protection hidden="1"/>
    </xf>
    <xf numFmtId="0" fontId="0" fillId="0" borderId="100" xfId="0" applyBorder="1" applyAlignment="1">
      <alignment horizontal="center"/>
    </xf>
    <xf numFmtId="0" fontId="1" fillId="0" borderId="185" xfId="0" applyFont="1" applyBorder="1" applyAlignment="1">
      <alignment horizontal="center"/>
    </xf>
    <xf numFmtId="2" fontId="0" fillId="0" borderId="185" xfId="0" applyNumberFormat="1" applyBorder="1" applyAlignment="1">
      <alignment horizontal="center"/>
    </xf>
    <xf numFmtId="2" fontId="0" fillId="0" borderId="167" xfId="0" applyNumberFormat="1" applyBorder="1" applyAlignment="1">
      <alignment horizontal="center"/>
    </xf>
    <xf numFmtId="0" fontId="0" fillId="39" borderId="112" xfId="0" applyFill="1" applyBorder="1" applyAlignment="1">
      <alignment horizontal="center"/>
    </xf>
    <xf numFmtId="0" fontId="0" fillId="39" borderId="113" xfId="0" applyFill="1" applyBorder="1" applyAlignment="1">
      <alignment horizontal="center"/>
    </xf>
    <xf numFmtId="2" fontId="0" fillId="0" borderId="190" xfId="0" applyNumberFormat="1" applyBorder="1" applyAlignment="1">
      <alignment horizontal="center"/>
    </xf>
    <xf numFmtId="166" fontId="0" fillId="0" borderId="191" xfId="0" applyNumberFormat="1" applyBorder="1" applyAlignment="1">
      <alignment horizontal="center"/>
    </xf>
    <xf numFmtId="2" fontId="45" fillId="0" borderId="191" xfId="45" applyNumberFormat="1" applyFont="1" applyBorder="1" applyAlignment="1">
      <alignment horizontal="center"/>
    </xf>
    <xf numFmtId="2" fontId="46" fillId="0" borderId="191" xfId="45" applyNumberFormat="1" applyFont="1" applyBorder="1" applyAlignment="1">
      <alignment horizontal="center"/>
    </xf>
    <xf numFmtId="166" fontId="46" fillId="0" borderId="191" xfId="45" applyNumberFormat="1" applyFont="1" applyBorder="1" applyAlignment="1">
      <alignment horizontal="center"/>
    </xf>
    <xf numFmtId="166" fontId="0" fillId="0" borderId="191" xfId="0" applyNumberFormat="1" applyBorder="1" applyAlignment="1">
      <alignment horizontal="center" vertical="center"/>
    </xf>
    <xf numFmtId="1" fontId="0" fillId="0" borderId="191" xfId="0" applyNumberFormat="1" applyBorder="1" applyAlignment="1">
      <alignment horizontal="center"/>
    </xf>
    <xf numFmtId="166" fontId="45" fillId="0" borderId="191" xfId="45" applyNumberFormat="1" applyFont="1" applyBorder="1" applyAlignment="1">
      <alignment horizontal="center"/>
    </xf>
    <xf numFmtId="1" fontId="0" fillId="0" borderId="191" xfId="0" applyNumberFormat="1" applyBorder="1" applyAlignment="1">
      <alignment horizontal="center" vertical="center"/>
    </xf>
    <xf numFmtId="166" fontId="0" fillId="0" borderId="190" xfId="0" applyNumberFormat="1" applyBorder="1" applyAlignment="1">
      <alignment horizontal="center"/>
    </xf>
    <xf numFmtId="1" fontId="46" fillId="0" borderId="191" xfId="45" applyNumberFormat="1" applyFont="1" applyBorder="1" applyAlignment="1">
      <alignment horizontal="center"/>
    </xf>
    <xf numFmtId="1" fontId="45" fillId="0" borderId="191" xfId="45" applyNumberFormat="1" applyFont="1" applyBorder="1" applyAlignment="1">
      <alignment horizontal="center"/>
    </xf>
    <xf numFmtId="1" fontId="0" fillId="0" borderId="190" xfId="0" applyNumberFormat="1" applyBorder="1" applyAlignment="1">
      <alignment horizontal="center"/>
    </xf>
    <xf numFmtId="0" fontId="0" fillId="0" borderId="194" xfId="0" applyBorder="1" applyAlignment="1">
      <alignment horizontal="center"/>
    </xf>
    <xf numFmtId="0" fontId="1" fillId="0" borderId="12" xfId="45" applyBorder="1" applyAlignment="1">
      <alignment horizontal="center"/>
    </xf>
    <xf numFmtId="0" fontId="1" fillId="0" borderId="190" xfId="45" applyBorder="1" applyAlignment="1">
      <alignment horizontal="center"/>
    </xf>
    <xf numFmtId="0" fontId="1" fillId="0" borderId="191" xfId="45" applyBorder="1" applyAlignment="1">
      <alignment horizontal="center"/>
    </xf>
    <xf numFmtId="2" fontId="1" fillId="0" borderId="191" xfId="45" applyNumberFormat="1" applyBorder="1" applyAlignment="1">
      <alignment horizontal="center"/>
    </xf>
    <xf numFmtId="0" fontId="1" fillId="0" borderId="193" xfId="45" applyBorder="1" applyAlignment="1">
      <alignment horizontal="center"/>
    </xf>
    <xf numFmtId="2" fontId="1" fillId="0" borderId="194" xfId="45" applyNumberFormat="1" applyBorder="1" applyAlignment="1">
      <alignment horizontal="center"/>
    </xf>
    <xf numFmtId="0" fontId="2" fillId="35" borderId="165" xfId="45" applyFont="1" applyFill="1" applyBorder="1" applyAlignment="1">
      <alignment horizontal="left"/>
    </xf>
    <xf numFmtId="0" fontId="1" fillId="35" borderId="165" xfId="45" applyFill="1" applyBorder="1"/>
    <xf numFmtId="0" fontId="2" fillId="0" borderId="193" xfId="45" applyFont="1" applyBorder="1" applyAlignment="1">
      <alignment horizontal="center"/>
    </xf>
    <xf numFmtId="0" fontId="2" fillId="36" borderId="190" xfId="45" applyFont="1" applyFill="1" applyBorder="1" applyAlignment="1">
      <alignment horizontal="center"/>
    </xf>
    <xf numFmtId="0" fontId="2" fillId="0" borderId="190" xfId="45" applyFont="1" applyBorder="1" applyAlignment="1">
      <alignment horizontal="center"/>
    </xf>
    <xf numFmtId="0" fontId="1" fillId="0" borderId="11" xfId="45" applyBorder="1" applyAlignment="1">
      <alignment horizontal="center"/>
    </xf>
    <xf numFmtId="0" fontId="1" fillId="0" borderId="13" xfId="45" applyBorder="1" applyAlignment="1">
      <alignment horizontal="center"/>
    </xf>
    <xf numFmtId="0" fontId="1" fillId="0" borderId="192" xfId="45" applyBorder="1" applyAlignment="1">
      <alignment horizontal="center"/>
    </xf>
    <xf numFmtId="2" fontId="1" fillId="0" borderId="192" xfId="45" applyNumberFormat="1" applyBorder="1" applyAlignment="1">
      <alignment horizontal="center"/>
    </xf>
    <xf numFmtId="0" fontId="1" fillId="0" borderId="194" xfId="45" applyBorder="1" applyAlignment="1">
      <alignment horizontal="center"/>
    </xf>
    <xf numFmtId="2" fontId="1" fillId="0" borderId="195" xfId="45" applyNumberFormat="1" applyBorder="1" applyAlignment="1">
      <alignment horizontal="center"/>
    </xf>
    <xf numFmtId="0" fontId="36" fillId="34" borderId="118" xfId="0" applyFont="1" applyFill="1" applyBorder="1" applyAlignment="1">
      <alignment horizontal="left" vertical="center"/>
    </xf>
    <xf numFmtId="0" fontId="2" fillId="34" borderId="142" xfId="0" applyFont="1" applyFill="1" applyBorder="1" applyAlignment="1">
      <alignment horizontal="left" vertical="center"/>
    </xf>
    <xf numFmtId="0" fontId="47" fillId="0" borderId="14" xfId="45" applyFont="1" applyBorder="1" applyAlignment="1">
      <alignment horizontal="left" vertical="center"/>
    </xf>
    <xf numFmtId="0" fontId="47" fillId="0" borderId="10" xfId="0" applyFont="1" applyBorder="1" applyAlignment="1">
      <alignment horizontal="center"/>
    </xf>
    <xf numFmtId="166" fontId="47" fillId="27" borderId="10" xfId="45" applyNumberFormat="1" applyFont="1" applyFill="1" applyBorder="1" applyAlignment="1" applyProtection="1">
      <alignment horizontal="center"/>
      <protection hidden="1"/>
    </xf>
    <xf numFmtId="1" fontId="47" fillId="26" borderId="15" xfId="45" applyNumberFormat="1" applyFont="1" applyFill="1" applyBorder="1" applyAlignment="1" applyProtection="1">
      <alignment horizontal="center"/>
      <protection hidden="1"/>
    </xf>
    <xf numFmtId="0" fontId="47" fillId="34" borderId="14" xfId="45" applyFont="1" applyFill="1" applyBorder="1" applyAlignment="1">
      <alignment horizontal="left" vertical="center"/>
    </xf>
    <xf numFmtId="0" fontId="47" fillId="28" borderId="10" xfId="45" applyFont="1" applyFill="1" applyBorder="1" applyAlignment="1">
      <alignment horizontal="center"/>
    </xf>
    <xf numFmtId="0" fontId="47" fillId="0" borderId="10" xfId="45" applyFont="1" applyBorder="1" applyAlignment="1">
      <alignment horizontal="center"/>
    </xf>
    <xf numFmtId="0" fontId="47" fillId="34" borderId="10" xfId="45" applyFont="1" applyFill="1" applyBorder="1" applyAlignment="1">
      <alignment horizontal="center"/>
    </xf>
    <xf numFmtId="0" fontId="5" fillId="30" borderId="24" xfId="0" applyFont="1" applyFill="1" applyBorder="1" applyAlignment="1">
      <alignment horizontal="center"/>
    </xf>
    <xf numFmtId="0" fontId="5" fillId="30" borderId="25" xfId="0" applyFont="1" applyFill="1" applyBorder="1" applyAlignment="1">
      <alignment horizontal="center"/>
    </xf>
    <xf numFmtId="0" fontId="5" fillId="30" borderId="26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5" fillId="30" borderId="19" xfId="0" applyFont="1" applyFill="1" applyBorder="1" applyAlignment="1">
      <alignment horizontal="center"/>
    </xf>
    <xf numFmtId="0" fontId="5" fillId="30" borderId="20" xfId="0" applyFont="1" applyFill="1" applyBorder="1" applyAlignment="1">
      <alignment horizontal="center"/>
    </xf>
    <xf numFmtId="0" fontId="5" fillId="30" borderId="21" xfId="0" applyFont="1" applyFill="1" applyBorder="1" applyAlignment="1">
      <alignment horizontal="center"/>
    </xf>
    <xf numFmtId="0" fontId="2" fillId="0" borderId="11" xfId="45" applyFont="1" applyBorder="1" applyAlignment="1">
      <alignment horizontal="center"/>
    </xf>
    <xf numFmtId="0" fontId="2" fillId="0" borderId="14" xfId="45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0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5" fillId="30" borderId="77" xfId="0" applyFont="1" applyFill="1" applyBorder="1" applyAlignment="1">
      <alignment horizontal="center"/>
    </xf>
    <xf numFmtId="0" fontId="5" fillId="30" borderId="76" xfId="0" applyFont="1" applyFill="1" applyBorder="1" applyAlignment="1">
      <alignment horizontal="center"/>
    </xf>
    <xf numFmtId="0" fontId="5" fillId="30" borderId="75" xfId="0" applyFont="1" applyFill="1" applyBorder="1" applyAlignment="1">
      <alignment horizontal="center"/>
    </xf>
    <xf numFmtId="0" fontId="5" fillId="30" borderId="188" xfId="0" applyFont="1" applyFill="1" applyBorder="1" applyAlignment="1">
      <alignment horizontal="center"/>
    </xf>
    <xf numFmtId="0" fontId="5" fillId="30" borderId="165" xfId="0" applyFont="1" applyFill="1" applyBorder="1" applyAlignment="1">
      <alignment horizontal="center"/>
    </xf>
    <xf numFmtId="0" fontId="5" fillId="30" borderId="189" xfId="0" applyFont="1" applyFill="1" applyBorder="1" applyAlignment="1">
      <alignment horizontal="center"/>
    </xf>
    <xf numFmtId="0" fontId="0" fillId="40" borderId="158" xfId="0" applyFill="1" applyBorder="1" applyAlignment="1">
      <alignment horizontal="center"/>
    </xf>
    <xf numFmtId="0" fontId="0" fillId="40" borderId="159" xfId="0" applyFill="1" applyBorder="1" applyAlignment="1">
      <alignment horizontal="center"/>
    </xf>
    <xf numFmtId="0" fontId="0" fillId="40" borderId="149" xfId="0" applyFill="1" applyBorder="1" applyAlignment="1">
      <alignment horizontal="center"/>
    </xf>
    <xf numFmtId="0" fontId="0" fillId="40" borderId="160" xfId="0" applyFill="1" applyBorder="1" applyAlignment="1">
      <alignment horizontal="center"/>
    </xf>
    <xf numFmtId="0" fontId="0" fillId="40" borderId="78" xfId="0" applyFill="1" applyBorder="1" applyAlignment="1">
      <alignment horizontal="center"/>
    </xf>
    <xf numFmtId="0" fontId="0" fillId="40" borderId="82" xfId="0" applyFill="1" applyBorder="1" applyAlignment="1">
      <alignment horizontal="center"/>
    </xf>
    <xf numFmtId="0" fontId="0" fillId="0" borderId="8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6" fontId="2" fillId="37" borderId="11" xfId="0" applyNumberFormat="1" applyFont="1" applyFill="1" applyBorder="1" applyAlignment="1" applyProtection="1">
      <alignment horizontal="center"/>
      <protection hidden="1"/>
    </xf>
    <xf numFmtId="166" fontId="2" fillId="37" borderId="13" xfId="0" applyNumberFormat="1" applyFont="1" applyFill="1" applyBorder="1" applyAlignment="1" applyProtection="1">
      <alignment horizontal="center"/>
      <protection hidden="1"/>
    </xf>
    <xf numFmtId="166" fontId="2" fillId="37" borderId="164" xfId="0" applyNumberFormat="1" applyFont="1" applyFill="1" applyBorder="1" applyAlignment="1" applyProtection="1">
      <alignment horizontal="center"/>
      <protection hidden="1"/>
    </xf>
    <xf numFmtId="166" fontId="2" fillId="37" borderId="163" xfId="0" applyNumberFormat="1" applyFont="1" applyFill="1" applyBorder="1" applyAlignment="1" applyProtection="1">
      <alignment horizontal="center"/>
      <protection hidden="1"/>
    </xf>
    <xf numFmtId="0" fontId="2" fillId="0" borderId="100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3" xfId="0" applyFont="1" applyBorder="1" applyAlignment="1">
      <alignment horizontal="center"/>
    </xf>
    <xf numFmtId="0" fontId="2" fillId="0" borderId="101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2" fillId="0" borderId="186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175" xfId="0" applyFont="1" applyBorder="1" applyAlignment="1">
      <alignment horizontal="center"/>
    </xf>
    <xf numFmtId="9" fontId="2" fillId="27" borderId="31" xfId="0" applyNumberFormat="1" applyFont="1" applyFill="1" applyBorder="1" applyAlignment="1" applyProtection="1">
      <alignment horizontal="center" vertical="center"/>
      <protection hidden="1"/>
    </xf>
    <xf numFmtId="9" fontId="2" fillId="27" borderId="94" xfId="0" applyNumberFormat="1" applyFont="1" applyFill="1" applyBorder="1" applyAlignment="1" applyProtection="1">
      <alignment horizontal="center" vertical="center"/>
      <protection hidden="1"/>
    </xf>
    <xf numFmtId="9" fontId="2" fillId="27" borderId="28" xfId="0" applyNumberFormat="1" applyFont="1" applyFill="1" applyBorder="1" applyAlignment="1" applyProtection="1">
      <alignment horizontal="center" vertical="center"/>
      <protection hidden="1"/>
    </xf>
    <xf numFmtId="9" fontId="2" fillId="27" borderId="18" xfId="0" applyNumberFormat="1" applyFont="1" applyFill="1" applyBorder="1" applyAlignment="1" applyProtection="1">
      <alignment horizontal="center" vertical="center"/>
      <protection hidden="1"/>
    </xf>
    <xf numFmtId="9" fontId="2" fillId="27" borderId="34" xfId="0" applyNumberFormat="1" applyFont="1" applyFill="1" applyBorder="1" applyAlignment="1" applyProtection="1">
      <alignment horizontal="center" vertical="center"/>
      <protection hidden="1"/>
    </xf>
    <xf numFmtId="9" fontId="2" fillId="27" borderId="92" xfId="0" applyNumberFormat="1" applyFont="1" applyFill="1" applyBorder="1" applyAlignment="1" applyProtection="1">
      <alignment horizontal="center" vertical="center"/>
      <protection hidden="1"/>
    </xf>
    <xf numFmtId="0" fontId="2" fillId="0" borderId="43" xfId="0" applyFont="1" applyBorder="1" applyAlignment="1">
      <alignment horizontal="center"/>
    </xf>
    <xf numFmtId="0" fontId="2" fillId="0" borderId="90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27" borderId="34" xfId="0" applyFont="1" applyFill="1" applyBorder="1" applyAlignment="1">
      <alignment horizontal="center"/>
    </xf>
    <xf numFmtId="0" fontId="2" fillId="27" borderId="92" xfId="0" applyFont="1" applyFill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111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82" xfId="0" applyFont="1" applyBorder="1" applyAlignment="1">
      <alignment horizontal="center"/>
    </xf>
    <xf numFmtId="0" fontId="31" fillId="27" borderId="10" xfId="0" applyFont="1" applyFill="1" applyBorder="1" applyAlignment="1">
      <alignment horizontal="center"/>
    </xf>
    <xf numFmtId="0" fontId="31" fillId="27" borderId="4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31" borderId="59" xfId="0" applyFont="1" applyFill="1" applyBorder="1" applyAlignment="1">
      <alignment horizontal="center"/>
    </xf>
    <xf numFmtId="0" fontId="2" fillId="31" borderId="54" xfId="0" applyFont="1" applyFill="1" applyBorder="1" applyAlignment="1">
      <alignment horizontal="center"/>
    </xf>
    <xf numFmtId="0" fontId="2" fillId="30" borderId="59" xfId="0" applyFont="1" applyFill="1" applyBorder="1" applyAlignment="1">
      <alignment horizontal="center"/>
    </xf>
    <xf numFmtId="0" fontId="2" fillId="30" borderId="37" xfId="0" applyFont="1" applyFill="1" applyBorder="1" applyAlignment="1">
      <alignment horizontal="center"/>
    </xf>
    <xf numFmtId="0" fontId="2" fillId="30" borderId="54" xfId="0" applyFont="1" applyFill="1" applyBorder="1" applyAlignment="1">
      <alignment horizontal="center"/>
    </xf>
    <xf numFmtId="0" fontId="2" fillId="24" borderId="59" xfId="0" applyFont="1" applyFill="1" applyBorder="1" applyAlignment="1">
      <alignment horizontal="center"/>
    </xf>
    <xf numFmtId="0" fontId="2" fillId="24" borderId="37" xfId="0" applyFont="1" applyFill="1" applyBorder="1" applyAlignment="1">
      <alignment horizontal="center"/>
    </xf>
    <xf numFmtId="0" fontId="2" fillId="24" borderId="54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7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5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5" fillId="30" borderId="23" xfId="0" applyFont="1" applyFill="1" applyBorder="1" applyAlignment="1">
      <alignment horizontal="center"/>
    </xf>
    <xf numFmtId="0" fontId="5" fillId="30" borderId="0" xfId="0" applyFont="1" applyFill="1" applyAlignment="1">
      <alignment horizontal="center"/>
    </xf>
    <xf numFmtId="0" fontId="5" fillId="30" borderId="22" xfId="0" applyFont="1" applyFill="1" applyBorder="1" applyAlignment="1">
      <alignment horizontal="center"/>
    </xf>
    <xf numFmtId="1" fontId="2" fillId="0" borderId="44" xfId="0" quotePrefix="1" applyNumberFormat="1" applyFont="1" applyBorder="1" applyAlignment="1">
      <alignment horizontal="center"/>
    </xf>
    <xf numFmtId="1" fontId="2" fillId="0" borderId="36" xfId="0" quotePrefix="1" applyNumberFormat="1" applyFont="1" applyBorder="1" applyAlignment="1">
      <alignment horizontal="center"/>
    </xf>
    <xf numFmtId="1" fontId="2" fillId="0" borderId="95" xfId="0" quotePrefix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/>
    </xf>
    <xf numFmtId="0" fontId="4" fillId="3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/>
    </xf>
    <xf numFmtId="0" fontId="2" fillId="27" borderId="100" xfId="0" applyFont="1" applyFill="1" applyBorder="1" applyAlignment="1">
      <alignment horizontal="center"/>
    </xf>
    <xf numFmtId="0" fontId="2" fillId="25" borderId="102" xfId="0" applyFont="1" applyFill="1" applyBorder="1" applyAlignment="1">
      <alignment horizontal="center"/>
    </xf>
    <xf numFmtId="0" fontId="2" fillId="25" borderId="12" xfId="0" applyFont="1" applyFill="1" applyBorder="1" applyAlignment="1">
      <alignment horizontal="center"/>
    </xf>
    <xf numFmtId="0" fontId="2" fillId="25" borderId="103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27" borderId="100" xfId="0" applyFont="1" applyFill="1" applyBorder="1" applyAlignment="1">
      <alignment horizontal="left"/>
    </xf>
    <xf numFmtId="0" fontId="2" fillId="27" borderId="104" xfId="0" applyFont="1" applyFill="1" applyBorder="1" applyAlignment="1">
      <alignment horizontal="left"/>
    </xf>
    <xf numFmtId="0" fontId="2" fillId="25" borderId="98" xfId="0" applyFont="1" applyFill="1" applyBorder="1" applyAlignment="1">
      <alignment horizontal="center"/>
    </xf>
    <xf numFmtId="0" fontId="2" fillId="26" borderId="105" xfId="0" applyFont="1" applyFill="1" applyBorder="1" applyAlignment="1">
      <alignment horizontal="center"/>
    </xf>
    <xf numFmtId="0" fontId="2" fillId="26" borderId="98" xfId="0" applyFont="1" applyFill="1" applyBorder="1" applyAlignment="1">
      <alignment horizontal="center"/>
    </xf>
    <xf numFmtId="0" fontId="2" fillId="26" borderId="99" xfId="0" applyFont="1" applyFill="1" applyBorder="1" applyAlignment="1">
      <alignment horizontal="center"/>
    </xf>
    <xf numFmtId="0" fontId="2" fillId="27" borderId="106" xfId="0" applyFont="1" applyFill="1" applyBorder="1" applyAlignment="1">
      <alignment horizontal="center"/>
    </xf>
    <xf numFmtId="0" fontId="2" fillId="27" borderId="96" xfId="0" applyFont="1" applyFill="1" applyBorder="1" applyAlignment="1">
      <alignment horizontal="center"/>
    </xf>
    <xf numFmtId="0" fontId="2" fillId="25" borderId="46" xfId="0" applyFont="1" applyFill="1" applyBorder="1" applyAlignment="1">
      <alignment horizontal="center"/>
    </xf>
    <xf numFmtId="0" fontId="2" fillId="25" borderId="106" xfId="0" applyFont="1" applyFill="1" applyBorder="1" applyAlignment="1">
      <alignment horizontal="center"/>
    </xf>
    <xf numFmtId="0" fontId="2" fillId="0" borderId="136" xfId="0" applyFont="1" applyBorder="1" applyAlignment="1">
      <alignment horizontal="center"/>
    </xf>
    <xf numFmtId="0" fontId="2" fillId="0" borderId="132" xfId="0" applyFont="1" applyBorder="1" applyAlignment="1">
      <alignment horizontal="center"/>
    </xf>
    <xf numFmtId="0" fontId="5" fillId="30" borderId="19" xfId="45" applyFont="1" applyFill="1" applyBorder="1" applyAlignment="1">
      <alignment horizontal="center"/>
    </xf>
    <xf numFmtId="0" fontId="5" fillId="30" borderId="20" xfId="45" applyFont="1" applyFill="1" applyBorder="1" applyAlignment="1">
      <alignment horizontal="center"/>
    </xf>
    <xf numFmtId="0" fontId="5" fillId="30" borderId="21" xfId="45" applyFont="1" applyFill="1" applyBorder="1" applyAlignment="1">
      <alignment horizontal="center"/>
    </xf>
    <xf numFmtId="0" fontId="0" fillId="36" borderId="70" xfId="0" applyFill="1" applyBorder="1" applyAlignment="1">
      <alignment horizontal="center"/>
    </xf>
    <xf numFmtId="0" fontId="0" fillId="36" borderId="40" xfId="0" applyFill="1" applyBorder="1" applyAlignment="1">
      <alignment horizontal="center"/>
    </xf>
    <xf numFmtId="0" fontId="0" fillId="36" borderId="58" xfId="0" applyFill="1" applyBorder="1" applyAlignment="1">
      <alignment horizontal="center"/>
    </xf>
    <xf numFmtId="166" fontId="2" fillId="36" borderId="119" xfId="0" applyNumberFormat="1" applyFont="1" applyFill="1" applyBorder="1" applyAlignment="1">
      <alignment horizontal="center"/>
    </xf>
    <xf numFmtId="166" fontId="2" fillId="27" borderId="120" xfId="0" applyNumberFormat="1" applyFont="1" applyFill="1" applyBorder="1" applyAlignment="1" applyProtection="1">
      <alignment horizontal="center"/>
      <protection hidden="1"/>
    </xf>
    <xf numFmtId="166" fontId="2" fillId="27" borderId="121" xfId="0" applyNumberFormat="1" applyFont="1" applyFill="1" applyBorder="1" applyAlignment="1" applyProtection="1">
      <alignment horizontal="center"/>
      <protection hidden="1"/>
    </xf>
    <xf numFmtId="166" fontId="2" fillId="38" borderId="119" xfId="0" applyNumberFormat="1" applyFont="1" applyFill="1" applyBorder="1" applyAlignment="1" applyProtection="1">
      <alignment horizontal="center"/>
      <protection hidden="1"/>
    </xf>
    <xf numFmtId="1" fontId="2" fillId="26" borderId="120" xfId="0" applyNumberFormat="1" applyFont="1" applyFill="1" applyBorder="1" applyAlignment="1" applyProtection="1">
      <alignment horizontal="center"/>
      <protection hidden="1"/>
    </xf>
    <xf numFmtId="1" fontId="2" fillId="26" borderId="122" xfId="0" applyNumberFormat="1" applyFont="1" applyFill="1" applyBorder="1" applyAlignment="1" applyProtection="1">
      <alignment horizontal="center"/>
      <protection hidden="1"/>
    </xf>
    <xf numFmtId="166" fontId="2" fillId="0" borderId="17" xfId="0" applyNumberFormat="1" applyFont="1" applyBorder="1" applyAlignment="1">
      <alignment horizontal="center"/>
    </xf>
    <xf numFmtId="166" fontId="2" fillId="27" borderId="51" xfId="0" applyNumberFormat="1" applyFont="1" applyFill="1" applyBorder="1" applyAlignment="1" applyProtection="1">
      <alignment horizontal="center"/>
      <protection hidden="1"/>
    </xf>
    <xf numFmtId="166" fontId="2" fillId="27" borderId="123" xfId="0" applyNumberFormat="1" applyFont="1" applyFill="1" applyBorder="1" applyAlignment="1" applyProtection="1">
      <alignment horizontal="center"/>
      <protection hidden="1"/>
    </xf>
    <xf numFmtId="166" fontId="2" fillId="38" borderId="17" xfId="0" applyNumberFormat="1" applyFont="1" applyFill="1" applyBorder="1" applyAlignment="1" applyProtection="1">
      <alignment horizontal="center"/>
      <protection hidden="1"/>
    </xf>
    <xf numFmtId="1" fontId="2" fillId="26" borderId="51" xfId="0" applyNumberFormat="1" applyFont="1" applyFill="1" applyBorder="1" applyAlignment="1" applyProtection="1">
      <alignment horizontal="center"/>
      <protection hidden="1"/>
    </xf>
    <xf numFmtId="1" fontId="2" fillId="26" borderId="95" xfId="0" applyNumberFormat="1" applyFont="1" applyFill="1" applyBorder="1" applyAlignment="1" applyProtection="1">
      <alignment horizontal="center"/>
      <protection hidden="1"/>
    </xf>
    <xf numFmtId="0" fontId="0" fillId="0" borderId="7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9" xfId="0" applyBorder="1" applyAlignment="1">
      <alignment horizontal="center"/>
    </xf>
    <xf numFmtId="166" fontId="2" fillId="0" borderId="119" xfId="0" applyNumberFormat="1" applyFont="1" applyBorder="1" applyAlignment="1">
      <alignment horizontal="center"/>
    </xf>
    <xf numFmtId="0" fontId="5" fillId="30" borderId="80" xfId="45" applyFont="1" applyFill="1" applyBorder="1" applyAlignment="1">
      <alignment horizontal="center"/>
    </xf>
    <xf numFmtId="0" fontId="5" fillId="30" borderId="37" xfId="45" applyFont="1" applyFill="1" applyBorder="1" applyAlignment="1">
      <alignment horizontal="center"/>
    </xf>
    <xf numFmtId="0" fontId="5" fillId="30" borderId="116" xfId="45" applyFont="1" applyFill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0" fontId="0" fillId="39" borderId="114" xfId="0" applyFill="1" applyBorder="1" applyAlignment="1">
      <alignment horizontal="center" vertical="center"/>
    </xf>
    <xf numFmtId="0" fontId="0" fillId="39" borderId="112" xfId="0" applyFill="1" applyBorder="1" applyAlignment="1">
      <alignment horizontal="center" vertical="center"/>
    </xf>
    <xf numFmtId="1" fontId="2" fillId="36" borderId="119" xfId="0" applyNumberFormat="1" applyFont="1" applyFill="1" applyBorder="1" applyAlignment="1">
      <alignment horizontal="center"/>
    </xf>
    <xf numFmtId="166" fontId="2" fillId="27" borderId="122" xfId="0" applyNumberFormat="1" applyFont="1" applyFill="1" applyBorder="1" applyAlignment="1" applyProtection="1">
      <alignment horizontal="center"/>
      <protection hidden="1"/>
    </xf>
    <xf numFmtId="1" fontId="2" fillId="0" borderId="17" xfId="0" applyNumberFormat="1" applyFont="1" applyBorder="1" applyAlignment="1">
      <alignment horizontal="center"/>
    </xf>
    <xf numFmtId="1" fontId="2" fillId="0" borderId="119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85" xfId="0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2" fillId="34" borderId="135" xfId="0" applyFont="1" applyFill="1" applyBorder="1" applyAlignment="1">
      <alignment horizontal="center"/>
    </xf>
    <xf numFmtId="0" fontId="2" fillId="34" borderId="134" xfId="0" applyFont="1" applyFill="1" applyBorder="1" applyAlignment="1">
      <alignment horizontal="center"/>
    </xf>
    <xf numFmtId="0" fontId="0" fillId="0" borderId="131" xfId="0" applyBorder="1" applyAlignment="1">
      <alignment horizontal="center"/>
    </xf>
    <xf numFmtId="0" fontId="2" fillId="0" borderId="133" xfId="0" applyFont="1" applyBorder="1" applyAlignment="1">
      <alignment horizontal="center"/>
    </xf>
    <xf numFmtId="0" fontId="2" fillId="28" borderId="133" xfId="0" applyFont="1" applyFill="1" applyBorder="1" applyAlignment="1">
      <alignment horizontal="center"/>
    </xf>
    <xf numFmtId="0" fontId="2" fillId="28" borderId="132" xfId="0" applyFont="1" applyFill="1" applyBorder="1" applyAlignment="1">
      <alignment horizontal="center"/>
    </xf>
    <xf numFmtId="0" fontId="2" fillId="34" borderId="133" xfId="0" applyFont="1" applyFill="1" applyBorder="1" applyAlignment="1">
      <alignment horizontal="center"/>
    </xf>
    <xf numFmtId="0" fontId="2" fillId="34" borderId="13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0" xfId="0" applyFont="1" applyBorder="1" applyAlignment="1">
      <alignment horizontal="center"/>
    </xf>
    <xf numFmtId="0" fontId="1" fillId="0" borderId="99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1" fillId="0" borderId="100" xfId="45" applyBorder="1" applyAlignment="1">
      <alignment horizontal="center"/>
    </xf>
    <xf numFmtId="0" fontId="1" fillId="0" borderId="29" xfId="45" applyBorder="1" applyAlignment="1">
      <alignment horizontal="center"/>
    </xf>
    <xf numFmtId="0" fontId="1" fillId="36" borderId="100" xfId="45" applyFill="1" applyBorder="1" applyAlignment="1">
      <alignment horizontal="center"/>
    </xf>
    <xf numFmtId="0" fontId="1" fillId="36" borderId="29" xfId="45" applyFill="1" applyBorder="1" applyAlignment="1">
      <alignment horizontal="center"/>
    </xf>
    <xf numFmtId="0" fontId="1" fillId="36" borderId="99" xfId="45" applyFill="1" applyBorder="1" applyAlignment="1">
      <alignment horizontal="center"/>
    </xf>
    <xf numFmtId="166" fontId="2" fillId="36" borderId="137" xfId="45" applyNumberFormat="1" applyFont="1" applyFill="1" applyBorder="1" applyAlignment="1">
      <alignment horizontal="center"/>
    </xf>
    <xf numFmtId="1" fontId="2" fillId="26" borderId="137" xfId="0" applyNumberFormat="1" applyFont="1" applyFill="1" applyBorder="1" applyAlignment="1">
      <alignment horizontal="center"/>
    </xf>
    <xf numFmtId="1" fontId="2" fillId="26" borderId="139" xfId="0" applyNumberFormat="1" applyFont="1" applyFill="1" applyBorder="1" applyAlignment="1">
      <alignment horizontal="center"/>
    </xf>
    <xf numFmtId="166" fontId="2" fillId="0" borderId="140" xfId="45" applyNumberFormat="1" applyFont="1" applyBorder="1" applyAlignment="1">
      <alignment horizontal="center"/>
    </xf>
    <xf numFmtId="1" fontId="2" fillId="26" borderId="140" xfId="0" applyNumberFormat="1" applyFont="1" applyFill="1" applyBorder="1" applyAlignment="1">
      <alignment horizontal="center"/>
    </xf>
    <xf numFmtId="1" fontId="2" fillId="26" borderId="141" xfId="0" applyNumberFormat="1" applyFont="1" applyFill="1" applyBorder="1" applyAlignment="1">
      <alignment horizontal="center"/>
    </xf>
    <xf numFmtId="166" fontId="2" fillId="0" borderId="137" xfId="45" applyNumberFormat="1" applyFont="1" applyBorder="1" applyAlignment="1">
      <alignment horizontal="center"/>
    </xf>
    <xf numFmtId="0" fontId="2" fillId="0" borderId="12" xfId="45" applyFont="1" applyBorder="1" applyAlignment="1">
      <alignment horizontal="center" vertical="center" wrapText="1"/>
    </xf>
    <xf numFmtId="0" fontId="2" fillId="26" borderId="12" xfId="0" applyFont="1" applyFill="1" applyBorder="1" applyAlignment="1">
      <alignment horizontal="center" wrapText="1"/>
    </xf>
    <xf numFmtId="0" fontId="2" fillId="26" borderId="13" xfId="0" applyFont="1" applyFill="1" applyBorder="1" applyAlignment="1">
      <alignment horizontal="center"/>
    </xf>
    <xf numFmtId="1" fontId="2" fillId="36" borderId="191" xfId="45" applyNumberFormat="1" applyFont="1" applyFill="1" applyBorder="1" applyAlignment="1">
      <alignment horizontal="center"/>
    </xf>
    <xf numFmtId="1" fontId="2" fillId="26" borderId="191" xfId="0" applyNumberFormat="1" applyFont="1" applyFill="1" applyBorder="1" applyAlignment="1">
      <alignment horizontal="center"/>
    </xf>
    <xf numFmtId="1" fontId="2" fillId="26" borderId="192" xfId="0" applyNumberFormat="1" applyFont="1" applyFill="1" applyBorder="1" applyAlignment="1">
      <alignment horizontal="center"/>
    </xf>
    <xf numFmtId="1" fontId="2" fillId="0" borderId="194" xfId="45" applyNumberFormat="1" applyFont="1" applyBorder="1" applyAlignment="1">
      <alignment horizontal="center"/>
    </xf>
    <xf numFmtId="1" fontId="2" fillId="26" borderId="194" xfId="0" applyNumberFormat="1" applyFont="1" applyFill="1" applyBorder="1" applyAlignment="1">
      <alignment horizontal="center"/>
    </xf>
    <xf numFmtId="1" fontId="2" fillId="26" borderId="195" xfId="0" applyNumberFormat="1" applyFont="1" applyFill="1" applyBorder="1" applyAlignment="1">
      <alignment horizontal="center"/>
    </xf>
    <xf numFmtId="1" fontId="2" fillId="0" borderId="191" xfId="45" applyNumberFormat="1" applyFont="1" applyBorder="1" applyAlignment="1">
      <alignment horizontal="center"/>
    </xf>
    <xf numFmtId="166" fontId="2" fillId="0" borderId="191" xfId="45" applyNumberFormat="1" applyFont="1" applyBorder="1" applyAlignment="1">
      <alignment horizontal="center"/>
    </xf>
    <xf numFmtId="166" fontId="2" fillId="36" borderId="191" xfId="45" applyNumberFormat="1" applyFont="1" applyFill="1" applyBorder="1" applyAlignment="1">
      <alignment horizontal="center"/>
    </xf>
  </cellXfs>
  <cellStyles count="48">
    <cellStyle name="1000-sep (2 dec)_0.1 Alpha Wafer Quick Calc 13.02.2011 JKR" xfId="1" xr:uid="{00000000-0005-0000-0000-000000000000}"/>
    <cellStyle name="20 % - Akzent1" xfId="2" xr:uid="{00000000-0005-0000-0000-000001000000}"/>
    <cellStyle name="20 % - Akzent2" xfId="3" xr:uid="{00000000-0005-0000-0000-000002000000}"/>
    <cellStyle name="20 % - Akzent3" xfId="4" xr:uid="{00000000-0005-0000-0000-000003000000}"/>
    <cellStyle name="20 % - Akzent4" xfId="5" xr:uid="{00000000-0005-0000-0000-000004000000}"/>
    <cellStyle name="20 % - Akzent5" xfId="6" xr:uid="{00000000-0005-0000-0000-000005000000}"/>
    <cellStyle name="20 % - Akzent6" xfId="7" xr:uid="{00000000-0005-0000-0000-000006000000}"/>
    <cellStyle name="40 % - Akzent1" xfId="8" xr:uid="{00000000-0005-0000-0000-000007000000}"/>
    <cellStyle name="40 % - Akzent2" xfId="9" xr:uid="{00000000-0005-0000-0000-000008000000}"/>
    <cellStyle name="40 % - Akzent3" xfId="10" xr:uid="{00000000-0005-0000-0000-000009000000}"/>
    <cellStyle name="40 % - Akzent4" xfId="11" xr:uid="{00000000-0005-0000-0000-00000A000000}"/>
    <cellStyle name="40 % - Akzent5" xfId="12" xr:uid="{00000000-0005-0000-0000-00000B000000}"/>
    <cellStyle name="40 % - Akzent6" xfId="13" xr:uid="{00000000-0005-0000-0000-00000C000000}"/>
    <cellStyle name="60 % - Akzent1" xfId="14" xr:uid="{00000000-0005-0000-0000-00000D000000}"/>
    <cellStyle name="60 % - Akzent2" xfId="15" xr:uid="{00000000-0005-0000-0000-00000E000000}"/>
    <cellStyle name="60 % - Akzent3" xfId="16" xr:uid="{00000000-0005-0000-0000-00000F000000}"/>
    <cellStyle name="60 % - Akzent4" xfId="17" xr:uid="{00000000-0005-0000-0000-000010000000}"/>
    <cellStyle name="60 % - Akzent5" xfId="18" xr:uid="{00000000-0005-0000-0000-000011000000}"/>
    <cellStyle name="60 % - Akzent6" xfId="19" xr:uid="{00000000-0005-0000-0000-000012000000}"/>
    <cellStyle name="Akzent1" xfId="20" xr:uid="{00000000-0005-0000-0000-000013000000}"/>
    <cellStyle name="Akzent2" xfId="21" xr:uid="{00000000-0005-0000-0000-000014000000}"/>
    <cellStyle name="Akzent3" xfId="22" xr:uid="{00000000-0005-0000-0000-000015000000}"/>
    <cellStyle name="Akzent4" xfId="23" xr:uid="{00000000-0005-0000-0000-000016000000}"/>
    <cellStyle name="Akzent5" xfId="24" xr:uid="{00000000-0005-0000-0000-000017000000}"/>
    <cellStyle name="Akzent6" xfId="25" xr:uid="{00000000-0005-0000-0000-000018000000}"/>
    <cellStyle name="Ausgabe" xfId="26" xr:uid="{00000000-0005-0000-0000-000019000000}"/>
    <cellStyle name="Berechnung" xfId="27" xr:uid="{00000000-0005-0000-0000-00001A000000}"/>
    <cellStyle name="Eingabe" xfId="28" xr:uid="{00000000-0005-0000-0000-00001B000000}"/>
    <cellStyle name="Ergebnis" xfId="29" xr:uid="{00000000-0005-0000-0000-00001C000000}"/>
    <cellStyle name="Erklärender Text" xfId="30" xr:uid="{00000000-0005-0000-0000-00001D000000}"/>
    <cellStyle name="Gut" xfId="31" xr:uid="{00000000-0005-0000-0000-00001E000000}"/>
    <cellStyle name="Komma" xfId="32" builtinId="3"/>
    <cellStyle name="Komma 2" xfId="46" xr:uid="{00000000-0005-0000-0000-000020000000}"/>
    <cellStyle name="Komma 2 2" xfId="47" xr:uid="{00000000-0005-0000-0000-000021000000}"/>
    <cellStyle name="Normal" xfId="0" builtinId="0"/>
    <cellStyle name="Normal 2" xfId="45" xr:uid="{00000000-0005-0000-0000-000023000000}"/>
    <cellStyle name="Notiz" xfId="33" xr:uid="{00000000-0005-0000-0000-000024000000}"/>
    <cellStyle name="Procent 2" xfId="34" xr:uid="{00000000-0005-0000-0000-000025000000}"/>
    <cellStyle name="Procent 2 2" xfId="35" xr:uid="{00000000-0005-0000-0000-000026000000}"/>
    <cellStyle name="Schlecht" xfId="36" xr:uid="{00000000-0005-0000-0000-000027000000}"/>
    <cellStyle name="Verknüpfte Zelle" xfId="37" xr:uid="{00000000-0005-0000-0000-000028000000}"/>
    <cellStyle name="Warnender Text" xfId="38" xr:uid="{00000000-0005-0000-0000-000029000000}"/>
    <cellStyle name="Überschrift" xfId="39" xr:uid="{00000000-0005-0000-0000-00002A000000}"/>
    <cellStyle name="Überschrift 1" xfId="40" xr:uid="{00000000-0005-0000-0000-00002B000000}"/>
    <cellStyle name="Überschrift 2" xfId="41" xr:uid="{00000000-0005-0000-0000-00002C000000}"/>
    <cellStyle name="Überschrift 3" xfId="42" xr:uid="{00000000-0005-0000-0000-00002D000000}"/>
    <cellStyle name="Überschrift 4" xfId="43" xr:uid="{00000000-0005-0000-0000-00002E000000}"/>
    <cellStyle name="Zelle überprüfen" xfId="4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emf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5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emf"/><Relationship Id="rId1" Type="http://schemas.openxmlformats.org/officeDocument/2006/relationships/image" Target="../media/image23.png"/><Relationship Id="rId4" Type="http://schemas.openxmlformats.org/officeDocument/2006/relationships/image" Target="../media/image26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tiff"/><Relationship Id="rId1" Type="http://schemas.openxmlformats.org/officeDocument/2006/relationships/image" Target="../media/image29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32.tif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26</xdr:row>
      <xdr:rowOff>31754</xdr:rowOff>
    </xdr:from>
    <xdr:to>
      <xdr:col>4</xdr:col>
      <xdr:colOff>281940</xdr:colOff>
      <xdr:row>34</xdr:row>
      <xdr:rowOff>132719</xdr:rowOff>
    </xdr:to>
    <xdr:pic>
      <xdr:nvPicPr>
        <xdr:cNvPr id="3182" name="Picture 3" descr="OPTIMA Compact pre setting">
          <a:extLst>
            <a:ext uri="{FF2B5EF4-FFF2-40B4-BE49-F238E27FC236}">
              <a16:creationId xmlns:a16="http://schemas.microsoft.com/office/drawing/2014/main" id="{00000000-0008-0000-0300-00006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067" y="4127504"/>
          <a:ext cx="1424516" cy="137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24</xdr:row>
      <xdr:rowOff>9525</xdr:rowOff>
    </xdr:from>
    <xdr:to>
      <xdr:col>9</xdr:col>
      <xdr:colOff>1272540</xdr:colOff>
      <xdr:row>36</xdr:row>
      <xdr:rowOff>95250</xdr:rowOff>
    </xdr:to>
    <xdr:pic>
      <xdr:nvPicPr>
        <xdr:cNvPr id="3183" name="Picture 5">
          <a:extLst>
            <a:ext uri="{FF2B5EF4-FFF2-40B4-BE49-F238E27FC236}">
              <a16:creationId xmlns:a16="http://schemas.microsoft.com/office/drawing/2014/main" id="{00000000-0008-0000-0300-00006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3533775"/>
          <a:ext cx="3152775" cy="2038350"/>
        </a:xfrm>
        <a:prstGeom prst="rect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92111</xdr:rowOff>
    </xdr:from>
    <xdr:to>
      <xdr:col>9</xdr:col>
      <xdr:colOff>706756</xdr:colOff>
      <xdr:row>19</xdr:row>
      <xdr:rowOff>133355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625511"/>
          <a:ext cx="1905001" cy="28454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27</xdr:row>
      <xdr:rowOff>28575</xdr:rowOff>
    </xdr:from>
    <xdr:to>
      <xdr:col>9</xdr:col>
      <xdr:colOff>762000</xdr:colOff>
      <xdr:row>39</xdr:row>
      <xdr:rowOff>117475</xdr:rowOff>
    </xdr:to>
    <xdr:pic>
      <xdr:nvPicPr>
        <xdr:cNvPr id="2" name="Billede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07" t="15598" r="7175" b="13535"/>
        <a:stretch>
          <a:fillRect/>
        </a:stretch>
      </xdr:blipFill>
      <xdr:spPr bwMode="auto">
        <a:xfrm>
          <a:off x="6019800" y="3200400"/>
          <a:ext cx="3086100" cy="206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1008062</xdr:colOff>
      <xdr:row>36</xdr:row>
      <xdr:rowOff>87312</xdr:rowOff>
    </xdr:from>
    <xdr:to>
      <xdr:col>4</xdr:col>
      <xdr:colOff>225107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1712" y="3754437"/>
          <a:ext cx="134302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357188</xdr:colOff>
      <xdr:row>2</xdr:row>
      <xdr:rowOff>46109</xdr:rowOff>
    </xdr:from>
    <xdr:to>
      <xdr:col>8</xdr:col>
      <xdr:colOff>688975</xdr:colOff>
      <xdr:row>16</xdr:row>
      <xdr:rowOff>34925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088" y="579509"/>
          <a:ext cx="1531937" cy="23033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938770</xdr:colOff>
      <xdr:row>12</xdr:row>
      <xdr:rowOff>85725</xdr:rowOff>
    </xdr:from>
    <xdr:to>
      <xdr:col>7</xdr:col>
      <xdr:colOff>809625</xdr:colOff>
      <xdr:row>28</xdr:row>
      <xdr:rowOff>128597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010FB9-703E-4365-BCAA-80438A304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0895" y="2295525"/>
          <a:ext cx="2099705" cy="28813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14</xdr:row>
      <xdr:rowOff>57150</xdr:rowOff>
    </xdr:from>
    <xdr:to>
      <xdr:col>3</xdr:col>
      <xdr:colOff>933450</xdr:colOff>
      <xdr:row>18</xdr:row>
      <xdr:rowOff>133350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2247900"/>
          <a:ext cx="7429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1390650</xdr:colOff>
      <xdr:row>18</xdr:row>
      <xdr:rowOff>28575</xdr:rowOff>
    </xdr:from>
    <xdr:to>
      <xdr:col>4</xdr:col>
      <xdr:colOff>247650</xdr:colOff>
      <xdr:row>30</xdr:row>
      <xdr:rowOff>85725</xdr:rowOff>
    </xdr:to>
    <xdr:pic>
      <xdr:nvPicPr>
        <xdr:cNvPr id="7" name="Billed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22" t="22298" r="21896" b="6757"/>
        <a:stretch/>
      </xdr:blipFill>
      <xdr:spPr>
        <a:xfrm>
          <a:off x="1390650" y="3219450"/>
          <a:ext cx="3552825" cy="200025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14</xdr:row>
      <xdr:rowOff>45720</xdr:rowOff>
    </xdr:from>
    <xdr:to>
      <xdr:col>7</xdr:col>
      <xdr:colOff>590550</xdr:colOff>
      <xdr:row>20</xdr:row>
      <xdr:rowOff>47625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73" t="17089" r="24621" b="12924"/>
        <a:stretch/>
      </xdr:blipFill>
      <xdr:spPr>
        <a:xfrm>
          <a:off x="6115050" y="2398395"/>
          <a:ext cx="1000125" cy="9829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14</xdr:row>
      <xdr:rowOff>104775</xdr:rowOff>
    </xdr:from>
    <xdr:to>
      <xdr:col>13</xdr:col>
      <xdr:colOff>485775</xdr:colOff>
      <xdr:row>26</xdr:row>
      <xdr:rowOff>142875</xdr:rowOff>
    </xdr:to>
    <xdr:pic>
      <xdr:nvPicPr>
        <xdr:cNvPr id="11265" name="Picture 6">
          <a:extLst>
            <a:ext uri="{FF2B5EF4-FFF2-40B4-BE49-F238E27FC236}">
              <a16:creationId xmlns:a16="http://schemas.microsoft.com/office/drawing/2014/main" id="{00000000-0008-0000-09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2752725"/>
          <a:ext cx="391477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142875</xdr:colOff>
      <xdr:row>14</xdr:row>
      <xdr:rowOff>19050</xdr:rowOff>
    </xdr:from>
    <xdr:to>
      <xdr:col>6</xdr:col>
      <xdr:colOff>485775</xdr:colOff>
      <xdr:row>26</xdr:row>
      <xdr:rowOff>152400</xdr:rowOff>
    </xdr:to>
    <xdr:pic>
      <xdr:nvPicPr>
        <xdr:cNvPr id="11266" name="Picture 5" descr="49-9037">
          <a:extLst>
            <a:ext uri="{FF2B5EF4-FFF2-40B4-BE49-F238E27FC236}">
              <a16:creationId xmlns:a16="http://schemas.microsoft.com/office/drawing/2014/main" id="{00000000-0008-0000-0900-000002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2667000"/>
          <a:ext cx="2314575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14</xdr:row>
      <xdr:rowOff>114300</xdr:rowOff>
    </xdr:from>
    <xdr:to>
      <xdr:col>13</xdr:col>
      <xdr:colOff>571500</xdr:colOff>
      <xdr:row>97</xdr:row>
      <xdr:rowOff>9525</xdr:rowOff>
    </xdr:to>
    <xdr:sp macro="" textlink="">
      <xdr:nvSpPr>
        <xdr:cNvPr id="11267" name="Picture 6">
          <a:extLst>
            <a:ext uri="{FF2B5EF4-FFF2-40B4-BE49-F238E27FC236}">
              <a16:creationId xmlns:a16="http://schemas.microsoft.com/office/drawing/2014/main" id="{00000000-0008-0000-0900-0000032C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2762250"/>
          <a:ext cx="4114800" cy="203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628650</xdr:colOff>
      <xdr:row>14</xdr:row>
      <xdr:rowOff>152400</xdr:rowOff>
    </xdr:from>
    <xdr:to>
      <xdr:col>8</xdr:col>
      <xdr:colOff>161925</xdr:colOff>
      <xdr:row>21</xdr:row>
      <xdr:rowOff>19050</xdr:rowOff>
    </xdr:to>
    <xdr:pic>
      <xdr:nvPicPr>
        <xdr:cNvPr id="11268" name="Picture 7" descr="dn25L-50">
          <a:extLst>
            <a:ext uri="{FF2B5EF4-FFF2-40B4-BE49-F238E27FC236}">
              <a16:creationId xmlns:a16="http://schemas.microsoft.com/office/drawing/2014/main" id="{00000000-0008-0000-0900-000004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00000">
          <a:off x="4486275" y="2800350"/>
          <a:ext cx="8286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102870</xdr:colOff>
      <xdr:row>9</xdr:row>
      <xdr:rowOff>0</xdr:rowOff>
    </xdr:from>
    <xdr:to>
      <xdr:col>16</xdr:col>
      <xdr:colOff>502920</xdr:colOff>
      <xdr:row>104</xdr:row>
      <xdr:rowOff>142875</xdr:rowOff>
    </xdr:to>
    <xdr:pic>
      <xdr:nvPicPr>
        <xdr:cNvPr id="8263" name="Picture 6" descr="Alpha Wafer">
          <a:extLst>
            <a:ext uri="{FF2B5EF4-FFF2-40B4-BE49-F238E27FC236}">
              <a16:creationId xmlns:a16="http://schemas.microsoft.com/office/drawing/2014/main" id="{00000000-0008-0000-0A00-00004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8490" y="1554480"/>
          <a:ext cx="2716530" cy="3320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333375</xdr:colOff>
      <xdr:row>101</xdr:row>
      <xdr:rowOff>9525</xdr:rowOff>
    </xdr:from>
    <xdr:to>
      <xdr:col>10</xdr:col>
      <xdr:colOff>419100</xdr:colOff>
      <xdr:row>120</xdr:row>
      <xdr:rowOff>66675</xdr:rowOff>
    </xdr:to>
    <xdr:pic>
      <xdr:nvPicPr>
        <xdr:cNvPr id="8264" name="Picture 2">
          <a:extLst>
            <a:ext uri="{FF2B5EF4-FFF2-40B4-BE49-F238E27FC236}">
              <a16:creationId xmlns:a16="http://schemas.microsoft.com/office/drawing/2014/main" id="{00000000-0008-0000-0A00-00004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4200525"/>
          <a:ext cx="4400550" cy="3381375"/>
        </a:xfrm>
        <a:prstGeom prst="rect">
          <a:avLst/>
        </a:prstGeom>
        <a:solidFill>
          <a:srgbClr val="C0C0C0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687380</xdr:colOff>
      <xdr:row>2</xdr:row>
      <xdr:rowOff>65556</xdr:rowOff>
    </xdr:from>
    <xdr:to>
      <xdr:col>9</xdr:col>
      <xdr:colOff>402441</xdr:colOff>
      <xdr:row>19</xdr:row>
      <xdr:rowOff>76201</xdr:rowOff>
    </xdr:to>
    <xdr:pic>
      <xdr:nvPicPr>
        <xdr:cNvPr id="6" name="Billed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02" t="15055" r="34082" b="11296"/>
        <a:stretch/>
      </xdr:blipFill>
      <xdr:spPr>
        <a:xfrm>
          <a:off x="5783255" y="598956"/>
          <a:ext cx="1854376" cy="2820520"/>
        </a:xfrm>
        <a:prstGeom prst="rect">
          <a:avLst/>
        </a:prstGeom>
      </xdr:spPr>
    </xdr:pic>
    <xdr:clientData/>
  </xdr:twoCellAnchor>
  <xdr:twoCellAnchor editAs="oneCell">
    <xdr:from>
      <xdr:col>5</xdr:col>
      <xdr:colOff>289900</xdr:colOff>
      <xdr:row>21</xdr:row>
      <xdr:rowOff>85725</xdr:rowOff>
    </xdr:from>
    <xdr:to>
      <xdr:col>10</xdr:col>
      <xdr:colOff>434340</xdr:colOff>
      <xdr:row>32</xdr:row>
      <xdr:rowOff>16590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8025" y="3600450"/>
          <a:ext cx="4053500" cy="171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1028700</xdr:colOff>
      <xdr:row>19</xdr:row>
      <xdr:rowOff>66675</xdr:rowOff>
    </xdr:from>
    <xdr:to>
      <xdr:col>5</xdr:col>
      <xdr:colOff>15240</xdr:colOff>
      <xdr:row>29</xdr:row>
      <xdr:rowOff>125730</xdr:rowOff>
    </xdr:to>
    <xdr:pic>
      <xdr:nvPicPr>
        <xdr:cNvPr id="9" name="Billed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86" t="15462" r="34998" b="12516"/>
        <a:stretch/>
      </xdr:blipFill>
      <xdr:spPr>
        <a:xfrm>
          <a:off x="2933700" y="3248025"/>
          <a:ext cx="1133475" cy="16859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1008062</xdr:colOff>
      <xdr:row>36</xdr:row>
      <xdr:rowOff>87312</xdr:rowOff>
    </xdr:from>
    <xdr:to>
      <xdr:col>4</xdr:col>
      <xdr:colOff>207962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26E9AFFC-4EE0-4877-B6FC-84216C9B0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5062" y="6183312"/>
          <a:ext cx="134302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104775</xdr:colOff>
      <xdr:row>6</xdr:row>
      <xdr:rowOff>38100</xdr:rowOff>
    </xdr:from>
    <xdr:to>
      <xdr:col>9</xdr:col>
      <xdr:colOff>328844</xdr:colOff>
      <xdr:row>26</xdr:row>
      <xdr:rowOff>57151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1F67DBC1-3DB6-45B7-96FD-17198DF458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1" r="12312" b="1814"/>
        <a:stretch/>
      </xdr:blipFill>
      <xdr:spPr>
        <a:xfrm>
          <a:off x="6677025" y="1247775"/>
          <a:ext cx="2129069" cy="3276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21</xdr:row>
      <xdr:rowOff>19050</xdr:rowOff>
    </xdr:from>
    <xdr:to>
      <xdr:col>9</xdr:col>
      <xdr:colOff>1057275</xdr:colOff>
      <xdr:row>31</xdr:row>
      <xdr:rowOff>76200</xdr:rowOff>
    </xdr:to>
    <xdr:pic>
      <xdr:nvPicPr>
        <xdr:cNvPr id="10382" name="Picture 1">
          <a:extLst>
            <a:ext uri="{FF2B5EF4-FFF2-40B4-BE49-F238E27FC236}">
              <a16:creationId xmlns:a16="http://schemas.microsoft.com/office/drawing/2014/main" id="{00000000-0008-0000-0600-00008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241935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333375</xdr:colOff>
      <xdr:row>21</xdr:row>
      <xdr:rowOff>38100</xdr:rowOff>
    </xdr:from>
    <xdr:to>
      <xdr:col>9</xdr:col>
      <xdr:colOff>1095375</xdr:colOff>
      <xdr:row>31</xdr:row>
      <xdr:rowOff>104775</xdr:rowOff>
    </xdr:to>
    <xdr:sp macro="" textlink="">
      <xdr:nvSpPr>
        <xdr:cNvPr id="10383" name="Picture 1">
          <a:extLst>
            <a:ext uri="{FF2B5EF4-FFF2-40B4-BE49-F238E27FC236}">
              <a16:creationId xmlns:a16="http://schemas.microsoft.com/office/drawing/2014/main" id="{00000000-0008-0000-0600-00008F280000}"/>
            </a:ext>
          </a:extLst>
        </xdr:cNvPr>
        <xdr:cNvSpPr>
          <a:spLocks noChangeAspect="1" noChangeArrowheads="1"/>
        </xdr:cNvSpPr>
      </xdr:nvSpPr>
      <xdr:spPr bwMode="auto">
        <a:xfrm>
          <a:off x="3638550" y="243840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71451</xdr:colOff>
      <xdr:row>33</xdr:row>
      <xdr:rowOff>142883</xdr:rowOff>
    </xdr:from>
    <xdr:to>
      <xdr:col>9</xdr:col>
      <xdr:colOff>1349375</xdr:colOff>
      <xdr:row>36</xdr:row>
      <xdr:rowOff>158750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683264" y="4040196"/>
          <a:ext cx="1992299" cy="492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setting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 editAs="oneCell">
    <xdr:from>
      <xdr:col>4</xdr:col>
      <xdr:colOff>76200</xdr:colOff>
      <xdr:row>20</xdr:row>
      <xdr:rowOff>19050</xdr:rowOff>
    </xdr:from>
    <xdr:to>
      <xdr:col>4</xdr:col>
      <xdr:colOff>880110</xdr:colOff>
      <xdr:row>25</xdr:row>
      <xdr:rowOff>149225</xdr:rowOff>
    </xdr:to>
    <xdr:pic>
      <xdr:nvPicPr>
        <xdr:cNvPr id="10385" name="Billede 6">
          <a:extLst>
            <a:ext uri="{FF2B5EF4-FFF2-40B4-BE49-F238E27FC236}">
              <a16:creationId xmlns:a16="http://schemas.microsoft.com/office/drawing/2014/main" id="{00000000-0008-0000-0600-000091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2238375"/>
          <a:ext cx="8096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314325</xdr:colOff>
      <xdr:row>1</xdr:row>
      <xdr:rowOff>171450</xdr:rowOff>
    </xdr:from>
    <xdr:to>
      <xdr:col>10</xdr:col>
      <xdr:colOff>224790</xdr:colOff>
      <xdr:row>14</xdr:row>
      <xdr:rowOff>33338</xdr:rowOff>
    </xdr:to>
    <xdr:pic>
      <xdr:nvPicPr>
        <xdr:cNvPr id="10386" name="Billede 7">
          <a:extLst>
            <a:ext uri="{FF2B5EF4-FFF2-40B4-BE49-F238E27FC236}">
              <a16:creationId xmlns:a16="http://schemas.microsoft.com/office/drawing/2014/main" id="{00000000-0008-0000-0600-00009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438150"/>
          <a:ext cx="28384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410441</xdr:colOff>
      <xdr:row>31</xdr:row>
      <xdr:rowOff>17859</xdr:rowOff>
    </xdr:from>
    <xdr:to>
      <xdr:col>1</xdr:col>
      <xdr:colOff>9199</xdr:colOff>
      <xdr:row>41</xdr:row>
      <xdr:rowOff>170258</xdr:rowOff>
    </xdr:to>
    <xdr:sp macro="" textlink="">
      <xdr:nvSpPr>
        <xdr:cNvPr id="3" name="Rectangle 1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410441" y="5395154"/>
          <a:ext cx="681144" cy="180628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>
            <a:alpha val="2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975123</xdr:colOff>
      <xdr:row>27</xdr:row>
      <xdr:rowOff>123825</xdr:rowOff>
    </xdr:from>
    <xdr:to>
      <xdr:col>9</xdr:col>
      <xdr:colOff>1029891</xdr:colOff>
      <xdr:row>31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6718698" y="4772025"/>
          <a:ext cx="2788443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in system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>
    <xdr:from>
      <xdr:col>8</xdr:col>
      <xdr:colOff>219074</xdr:colOff>
      <xdr:row>2</xdr:row>
      <xdr:rowOff>142874</xdr:rowOff>
    </xdr:from>
    <xdr:to>
      <xdr:col>9</xdr:col>
      <xdr:colOff>685799</xdr:colOff>
      <xdr:row>5</xdr:row>
      <xdr:rowOff>47625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7334249" y="676274"/>
          <a:ext cx="1838325" cy="400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 (Supply)</a:t>
          </a:r>
        </a:p>
      </xdr:txBody>
    </xdr:sp>
    <xdr:clientData/>
  </xdr:twoCellAnchor>
  <xdr:twoCellAnchor>
    <xdr:from>
      <xdr:col>8</xdr:col>
      <xdr:colOff>389661</xdr:colOff>
      <xdr:row>11</xdr:row>
      <xdr:rowOff>152400</xdr:rowOff>
    </xdr:from>
    <xdr:to>
      <xdr:col>9</xdr:col>
      <xdr:colOff>677143</xdr:colOff>
      <xdr:row>14</xdr:row>
      <xdr:rowOff>47625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7507434" y="2213264"/>
          <a:ext cx="1655618" cy="38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 (Return)</a:t>
          </a:r>
        </a:p>
      </xdr:txBody>
    </xdr:sp>
    <xdr:clientData/>
  </xdr:twoCellAnchor>
  <xdr:twoCellAnchor>
    <xdr:from>
      <xdr:col>1</xdr:col>
      <xdr:colOff>228600</xdr:colOff>
      <xdr:row>26</xdr:row>
      <xdr:rowOff>114300</xdr:rowOff>
    </xdr:from>
    <xdr:to>
      <xdr:col>1</xdr:col>
      <xdr:colOff>833437</xdr:colOff>
      <xdr:row>29</xdr:row>
      <xdr:rowOff>35719</xdr:rowOff>
    </xdr:to>
    <xdr:sp macro="" textlink="">
      <xdr:nvSpPr>
        <xdr:cNvPr id="7" name="Text Box 10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314450" y="4600575"/>
          <a:ext cx="604837" cy="407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</a:t>
          </a:r>
        </a:p>
      </xdr:txBody>
    </xdr:sp>
    <xdr:clientData/>
  </xdr:twoCellAnchor>
  <xdr:twoCellAnchor>
    <xdr:from>
      <xdr:col>3</xdr:col>
      <xdr:colOff>41675</xdr:colOff>
      <xdr:row>26</xdr:row>
      <xdr:rowOff>47624</xdr:rowOff>
    </xdr:from>
    <xdr:to>
      <xdr:col>3</xdr:col>
      <xdr:colOff>904878</xdr:colOff>
      <xdr:row>29</xdr:row>
      <xdr:rowOff>23813</xdr:rowOff>
    </xdr:to>
    <xdr:sp macro="" textlink="">
      <xdr:nvSpPr>
        <xdr:cNvPr id="8" name="Text Box 1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289700" y="4533899"/>
          <a:ext cx="863203" cy="461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</a:t>
          </a:r>
        </a:p>
      </xdr:txBody>
    </xdr:sp>
    <xdr:clientData/>
  </xdr:twoCellAnchor>
  <xdr:twoCellAnchor>
    <xdr:from>
      <xdr:col>0</xdr:col>
      <xdr:colOff>419100</xdr:colOff>
      <xdr:row>31</xdr:row>
      <xdr:rowOff>9525</xdr:rowOff>
    </xdr:from>
    <xdr:to>
      <xdr:col>0</xdr:col>
      <xdr:colOff>419100</xdr:colOff>
      <xdr:row>42</xdr:row>
      <xdr:rowOff>9525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419100" y="5314950"/>
          <a:ext cx="0" cy="180022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32</xdr:row>
      <xdr:rowOff>0</xdr:rowOff>
    </xdr:from>
    <xdr:to>
      <xdr:col>0</xdr:col>
      <xdr:colOff>1076325</xdr:colOff>
      <xdr:row>32</xdr:row>
      <xdr:rowOff>0</xdr:rowOff>
    </xdr:to>
    <xdr:sp macro="" textlink="">
      <xdr:nvSpPr>
        <xdr:cNvPr id="10" name="Line 1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419100" y="5476875"/>
          <a:ext cx="65722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1009650</xdr:colOff>
      <xdr:row>31</xdr:row>
      <xdr:rowOff>9525</xdr:rowOff>
    </xdr:from>
    <xdr:to>
      <xdr:col>1</xdr:col>
      <xdr:colOff>38100</xdr:colOff>
      <xdr:row>31</xdr:row>
      <xdr:rowOff>161925</xdr:rowOff>
    </xdr:to>
    <xdr:sp macro="" textlink="">
      <xdr:nvSpPr>
        <xdr:cNvPr id="11" name="Rectangle 1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Arrowheads="1"/>
        </xdr:cNvSpPr>
      </xdr:nvSpPr>
      <xdr:spPr bwMode="auto">
        <a:xfrm>
          <a:off x="1009650" y="5314950"/>
          <a:ext cx="114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435904</xdr:colOff>
      <xdr:row>2</xdr:row>
      <xdr:rowOff>82150</xdr:rowOff>
    </xdr:from>
    <xdr:to>
      <xdr:col>8</xdr:col>
      <xdr:colOff>659267</xdr:colOff>
      <xdr:row>15</xdr:row>
      <xdr:rowOff>143447</xdr:rowOff>
    </xdr:to>
    <xdr:pic>
      <xdr:nvPicPr>
        <xdr:cNvPr id="13" name="Billed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68" t="11506" r="14110" b="9801"/>
        <a:stretch/>
      </xdr:blipFill>
      <xdr:spPr>
        <a:xfrm rot="3600000">
          <a:off x="5869987" y="925042"/>
          <a:ext cx="2213947" cy="1594963"/>
        </a:xfrm>
        <a:prstGeom prst="rect">
          <a:avLst/>
        </a:prstGeom>
      </xdr:spPr>
    </xdr:pic>
    <xdr:clientData/>
  </xdr:twoCellAnchor>
  <xdr:twoCellAnchor editAs="oneCell">
    <xdr:from>
      <xdr:col>7</xdr:col>
      <xdr:colOff>29402</xdr:colOff>
      <xdr:row>17</xdr:row>
      <xdr:rowOff>40481</xdr:rowOff>
    </xdr:from>
    <xdr:to>
      <xdr:col>9</xdr:col>
      <xdr:colOff>361949</xdr:colOff>
      <xdr:row>28</xdr:row>
      <xdr:rowOff>3570</xdr:rowOff>
    </xdr:to>
    <xdr:pic>
      <xdr:nvPicPr>
        <xdr:cNvPr id="14" name="Billede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977" y="3050381"/>
          <a:ext cx="3075747" cy="1763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251221</xdr:colOff>
      <xdr:row>23</xdr:row>
      <xdr:rowOff>51197</xdr:rowOff>
    </xdr:from>
    <xdr:to>
      <xdr:col>7</xdr:col>
      <xdr:colOff>482201</xdr:colOff>
      <xdr:row>24</xdr:row>
      <xdr:rowOff>41672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5994796" y="4051697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1135840</xdr:colOff>
      <xdr:row>23</xdr:row>
      <xdr:rowOff>51200</xdr:rowOff>
    </xdr:from>
    <xdr:to>
      <xdr:col>7</xdr:col>
      <xdr:colOff>1366820</xdr:colOff>
      <xdr:row>24</xdr:row>
      <xdr:rowOff>41675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6879415" y="4051700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698893</xdr:colOff>
      <xdr:row>20</xdr:row>
      <xdr:rowOff>159558</xdr:rowOff>
    </xdr:from>
    <xdr:to>
      <xdr:col>7</xdr:col>
      <xdr:colOff>929873</xdr:colOff>
      <xdr:row>21</xdr:row>
      <xdr:rowOff>150033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6442468" y="3674283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</a:t>
          </a:r>
        </a:p>
      </xdr:txBody>
    </xdr:sp>
    <xdr:clientData/>
  </xdr:twoCellAnchor>
  <xdr:twoCellAnchor>
    <xdr:from>
      <xdr:col>7</xdr:col>
      <xdr:colOff>708421</xdr:colOff>
      <xdr:row>24</xdr:row>
      <xdr:rowOff>73825</xdr:rowOff>
    </xdr:from>
    <xdr:to>
      <xdr:col>7</xdr:col>
      <xdr:colOff>939401</xdr:colOff>
      <xdr:row>25</xdr:row>
      <xdr:rowOff>64299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6451996" y="4236250"/>
          <a:ext cx="230980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</a:t>
          </a:r>
        </a:p>
      </xdr:txBody>
    </xdr:sp>
    <xdr:clientData/>
  </xdr:twoCellAnchor>
  <xdr:twoCellAnchor>
    <xdr:from>
      <xdr:col>6</xdr:col>
      <xdr:colOff>303608</xdr:colOff>
      <xdr:row>25</xdr:row>
      <xdr:rowOff>140503</xdr:rowOff>
    </xdr:from>
    <xdr:to>
      <xdr:col>6</xdr:col>
      <xdr:colOff>1351359</xdr:colOff>
      <xdr:row>27</xdr:row>
      <xdr:rowOff>23812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4666058" y="4464853"/>
          <a:ext cx="1047751" cy="2071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∆Ps + ∆Pv</a:t>
          </a:r>
        </a:p>
      </xdr:txBody>
    </xdr:sp>
    <xdr:clientData/>
  </xdr:twoCellAnchor>
  <xdr:twoCellAnchor editAs="oneCell">
    <xdr:from>
      <xdr:col>1</xdr:col>
      <xdr:colOff>51953</xdr:colOff>
      <xdr:row>19</xdr:row>
      <xdr:rowOff>138545</xdr:rowOff>
    </xdr:from>
    <xdr:to>
      <xdr:col>2</xdr:col>
      <xdr:colOff>483439</xdr:colOff>
      <xdr:row>26</xdr:row>
      <xdr:rowOff>111215</xdr:rowOff>
    </xdr:to>
    <xdr:pic>
      <xdr:nvPicPr>
        <xdr:cNvPr id="21" name="Billed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4339" y="3524250"/>
          <a:ext cx="1548509" cy="1132988"/>
        </a:xfrm>
        <a:prstGeom prst="rect">
          <a:avLst/>
        </a:prstGeom>
      </xdr:spPr>
    </xdr:pic>
    <xdr:clientData/>
  </xdr:twoCellAnchor>
  <xdr:twoCellAnchor editAs="oneCell">
    <xdr:from>
      <xdr:col>3</xdr:col>
      <xdr:colOff>43296</xdr:colOff>
      <xdr:row>19</xdr:row>
      <xdr:rowOff>51153</xdr:rowOff>
    </xdr:from>
    <xdr:to>
      <xdr:col>6</xdr:col>
      <xdr:colOff>519546</xdr:colOff>
      <xdr:row>25</xdr:row>
      <xdr:rowOff>109971</xdr:rowOff>
    </xdr:to>
    <xdr:pic>
      <xdr:nvPicPr>
        <xdr:cNvPr id="23" name="Billed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0455" y="3436858"/>
          <a:ext cx="1593273" cy="1054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771525</xdr:colOff>
      <xdr:row>19</xdr:row>
      <xdr:rowOff>123092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C36EAD-74DC-412E-9B55-6C0B1A93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13339" cy="238051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130723</xdr:colOff>
      <xdr:row>2</xdr:row>
      <xdr:rowOff>38100</xdr:rowOff>
    </xdr:from>
    <xdr:to>
      <xdr:col>8</xdr:col>
      <xdr:colOff>666750</xdr:colOff>
      <xdr:row>20</xdr:row>
      <xdr:rowOff>138215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9E6D68-448E-426E-98F8-7F04D99FB0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474123" y="571500"/>
          <a:ext cx="3079202" cy="311954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80346</xdr:colOff>
      <xdr:row>6</xdr:row>
      <xdr:rowOff>97871</xdr:rowOff>
    </xdr:from>
    <xdr:to>
      <xdr:col>1</xdr:col>
      <xdr:colOff>817284</xdr:colOff>
      <xdr:row>11</xdr:row>
      <xdr:rowOff>15240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3224DED0-3DB9-4303-BF43-2E13B365A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496" y="1288496"/>
          <a:ext cx="740748" cy="730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76200</xdr:colOff>
      <xdr:row>7</xdr:row>
      <xdr:rowOff>123315</xdr:rowOff>
    </xdr:from>
    <xdr:to>
      <xdr:col>7</xdr:col>
      <xdr:colOff>979170</xdr:colOff>
      <xdr:row>28</xdr:row>
      <xdr:rowOff>129921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AB298F9C-ABAD-43F6-BAB4-C58A8DAFB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1475865"/>
          <a:ext cx="1952625" cy="3439416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638173</xdr:colOff>
      <xdr:row>2</xdr:row>
      <xdr:rowOff>123824</xdr:rowOff>
    </xdr:from>
    <xdr:to>
      <xdr:col>6</xdr:col>
      <xdr:colOff>729701</xdr:colOff>
      <xdr:row>10</xdr:row>
      <xdr:rowOff>64769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34AA1AEE-74B4-423A-A65F-C9AB4352AA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18" t="3442" r="4075" b="48821"/>
        <a:stretch/>
      </xdr:blipFill>
      <xdr:spPr>
        <a:xfrm>
          <a:off x="4219573" y="657224"/>
          <a:ext cx="3232873" cy="12477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691515</xdr:colOff>
      <xdr:row>8</xdr:row>
      <xdr:rowOff>28018</xdr:rowOff>
    </xdr:from>
    <xdr:ext cx="3973830" cy="4303246"/>
    <xdr:pic>
      <xdr:nvPicPr>
        <xdr:cNvPr id="2" name="Billede 1">
          <a:extLst>
            <a:ext uri="{FF2B5EF4-FFF2-40B4-BE49-F238E27FC236}">
              <a16:creationId xmlns:a16="http://schemas.microsoft.com/office/drawing/2014/main" id="{CA73F757-1414-4B29-954E-6EA152AF4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8390" y="1323418"/>
          <a:ext cx="3973830" cy="4303246"/>
        </a:xfrm>
        <a:prstGeom prst="rect">
          <a:avLst/>
        </a:prstGeom>
      </xdr:spPr>
    </xdr:pic>
    <xdr:clientData/>
  </xdr:oneCellAnchor>
  <xdr:oneCellAnchor>
    <xdr:from>
      <xdr:col>0</xdr:col>
      <xdr:colOff>1657131</xdr:colOff>
      <xdr:row>6</xdr:row>
      <xdr:rowOff>85725</xdr:rowOff>
    </xdr:from>
    <xdr:ext cx="1018323" cy="945515"/>
    <xdr:pic>
      <xdr:nvPicPr>
        <xdr:cNvPr id="3" name="Billede 2">
          <a:extLst>
            <a:ext uri="{FF2B5EF4-FFF2-40B4-BE49-F238E27FC236}">
              <a16:creationId xmlns:a16="http://schemas.microsoft.com/office/drawing/2014/main" id="{612F555D-1A57-4304-8187-A50809A3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331" y="1057275"/>
          <a:ext cx="1018323" cy="945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838200</xdr:colOff>
      <xdr:row>16</xdr:row>
      <xdr:rowOff>142875</xdr:rowOff>
    </xdr:from>
    <xdr:to>
      <xdr:col>7</xdr:col>
      <xdr:colOff>150450</xdr:colOff>
      <xdr:row>18</xdr:row>
      <xdr:rowOff>71025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730C23E9-3FEF-44A3-AD52-3A42C4B50D5F}"/>
            </a:ext>
          </a:extLst>
        </xdr:cNvPr>
        <xdr:cNvSpPr txBox="1"/>
      </xdr:nvSpPr>
      <xdr:spPr>
        <a:xfrm>
          <a:off x="4133850" y="2733675"/>
          <a:ext cx="15045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P1</a:t>
          </a:r>
        </a:p>
      </xdr:txBody>
    </xdr:sp>
    <xdr:clientData/>
  </xdr:twoCellAnchor>
  <xdr:twoCellAnchor>
    <xdr:from>
      <xdr:col>5</xdr:col>
      <xdr:colOff>180976</xdr:colOff>
      <xdr:row>29</xdr:row>
      <xdr:rowOff>9525</xdr:rowOff>
    </xdr:from>
    <xdr:to>
      <xdr:col>5</xdr:col>
      <xdr:colOff>540976</xdr:colOff>
      <xdr:row>30</xdr:row>
      <xdr:rowOff>90075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415B7FE6-B614-4875-9C46-2CD94213DB44}"/>
            </a:ext>
          </a:extLst>
        </xdr:cNvPr>
        <xdr:cNvSpPr txBox="1"/>
      </xdr:nvSpPr>
      <xdr:spPr>
        <a:xfrm>
          <a:off x="3133726" y="4705350"/>
          <a:ext cx="360000" cy="2424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tx1"/>
              </a:solidFill>
            </a:rPr>
            <a:t>P2</a:t>
          </a:r>
        </a:p>
      </xdr:txBody>
    </xdr:sp>
    <xdr:clientData/>
  </xdr:twoCellAnchor>
  <xdr:twoCellAnchor>
    <xdr:from>
      <xdr:col>4</xdr:col>
      <xdr:colOff>180976</xdr:colOff>
      <xdr:row>15</xdr:row>
      <xdr:rowOff>116203</xdr:rowOff>
    </xdr:from>
    <xdr:to>
      <xdr:col>4</xdr:col>
      <xdr:colOff>540976</xdr:colOff>
      <xdr:row>17</xdr:row>
      <xdr:rowOff>44353</xdr:rowOff>
    </xdr:to>
    <xdr:sp macro="" textlink="">
      <xdr:nvSpPr>
        <xdr:cNvPr id="6" name="Tekstfelt 5">
          <a:extLst>
            <a:ext uri="{FF2B5EF4-FFF2-40B4-BE49-F238E27FC236}">
              <a16:creationId xmlns:a16="http://schemas.microsoft.com/office/drawing/2014/main" id="{6BAE44F7-55D3-4810-B92D-83DF8B6C74A0}"/>
            </a:ext>
          </a:extLst>
        </xdr:cNvPr>
        <xdr:cNvSpPr txBox="1"/>
      </xdr:nvSpPr>
      <xdr:spPr>
        <a:xfrm>
          <a:off x="2543176" y="2545078"/>
          <a:ext cx="36000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P3</a:t>
          </a:r>
        </a:p>
      </xdr:txBody>
    </xdr:sp>
    <xdr:clientData/>
  </xdr:twoCellAnchor>
  <xdr:twoCellAnchor>
    <xdr:from>
      <xdr:col>5</xdr:col>
      <xdr:colOff>161924</xdr:colOff>
      <xdr:row>25</xdr:row>
      <xdr:rowOff>9526</xdr:rowOff>
    </xdr:from>
    <xdr:to>
      <xdr:col>5</xdr:col>
      <xdr:colOff>533399</xdr:colOff>
      <xdr:row>26</xdr:row>
      <xdr:rowOff>66676</xdr:rowOff>
    </xdr:to>
    <xdr:sp macro="" textlink="">
      <xdr:nvSpPr>
        <xdr:cNvPr id="7" name="Pil: nedad 6">
          <a:extLst>
            <a:ext uri="{FF2B5EF4-FFF2-40B4-BE49-F238E27FC236}">
              <a16:creationId xmlns:a16="http://schemas.microsoft.com/office/drawing/2014/main" id="{F40B7730-B48D-4283-B676-79CB37846241}"/>
            </a:ext>
          </a:extLst>
        </xdr:cNvPr>
        <xdr:cNvSpPr/>
      </xdr:nvSpPr>
      <xdr:spPr>
        <a:xfrm rot="5634048">
          <a:off x="3190874" y="3981451"/>
          <a:ext cx="219075" cy="371475"/>
        </a:xfrm>
        <a:prstGeom prst="down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781050</xdr:colOff>
      <xdr:row>19</xdr:row>
      <xdr:rowOff>130712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3E4559-F474-4DFC-849D-6381868A6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22864" cy="238813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2</xdr:row>
      <xdr:rowOff>66675</xdr:rowOff>
    </xdr:from>
    <xdr:ext cx="3079202" cy="3119540"/>
    <xdr:pic>
      <xdr:nvPicPr>
        <xdr:cNvPr id="2" name="Picture 1">
          <a:extLst>
            <a:ext uri="{FF2B5EF4-FFF2-40B4-BE49-F238E27FC236}">
              <a16:creationId xmlns:a16="http://schemas.microsoft.com/office/drawing/2014/main" id="{3255922C-0093-446E-B180-6E5B6B9E71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600575" y="600075"/>
          <a:ext cx="3079202" cy="3119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8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3" width="15.7109375" customWidth="1"/>
    <col min="4" max="4" width="16.42578125" customWidth="1"/>
    <col min="5" max="5" width="15.7109375" customWidth="1"/>
    <col min="6" max="7" width="10.7109375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46" t="s">
        <v>677</v>
      </c>
      <c r="B1" s="747"/>
      <c r="C1" s="747"/>
      <c r="D1" s="747"/>
      <c r="E1" s="747"/>
      <c r="F1" s="747"/>
      <c r="G1" s="747"/>
      <c r="H1" s="747"/>
      <c r="I1" s="747"/>
      <c r="J1" s="748"/>
      <c r="K1" s="5"/>
    </row>
    <row r="2" spans="1:11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0"/>
      <c r="J2" s="741"/>
      <c r="K2" s="5"/>
    </row>
    <row r="3" spans="1:11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B4" s="17" t="s">
        <v>23</v>
      </c>
      <c r="D4" s="23"/>
      <c r="J4" s="21"/>
    </row>
    <row r="5" spans="1:11" ht="13.5" thickBot="1" x14ac:dyDescent="0.25">
      <c r="A5" s="30" t="s">
        <v>45</v>
      </c>
      <c r="B5" s="303">
        <v>1000</v>
      </c>
      <c r="C5" s="24" t="s">
        <v>58</v>
      </c>
      <c r="D5" s="23"/>
      <c r="G5" s="23"/>
      <c r="J5" s="21"/>
    </row>
    <row r="6" spans="1:11" x14ac:dyDescent="0.2">
      <c r="A6" s="22"/>
      <c r="G6" s="23"/>
      <c r="J6" s="21"/>
    </row>
    <row r="7" spans="1:11" ht="13.5" thickBot="1" x14ac:dyDescent="0.25">
      <c r="A7" s="22"/>
      <c r="J7" s="21"/>
    </row>
    <row r="8" spans="1:11" ht="13.5" thickTop="1" x14ac:dyDescent="0.2">
      <c r="A8" s="744" t="s">
        <v>22</v>
      </c>
      <c r="B8" s="742" t="s">
        <v>49</v>
      </c>
      <c r="C8" s="742"/>
      <c r="D8" s="742" t="s">
        <v>59</v>
      </c>
      <c r="E8" s="743"/>
      <c r="J8" s="21"/>
    </row>
    <row r="9" spans="1:11" x14ac:dyDescent="0.2">
      <c r="A9" s="745"/>
      <c r="B9" s="487" t="s">
        <v>44</v>
      </c>
      <c r="C9" s="487" t="s">
        <v>69</v>
      </c>
      <c r="D9" s="488" t="s">
        <v>51</v>
      </c>
      <c r="E9" s="34" t="s">
        <v>61</v>
      </c>
      <c r="J9" s="21"/>
    </row>
    <row r="10" spans="1:11" x14ac:dyDescent="0.2">
      <c r="A10" s="489" t="s">
        <v>94</v>
      </c>
      <c r="B10" s="490" t="s">
        <v>446</v>
      </c>
      <c r="C10" s="490" t="s">
        <v>531</v>
      </c>
      <c r="D10" s="491" t="str">
        <f>IF(D41="UDEN FOR OMRÅDET","NOT POSSIBLE",(0.0206*B5-0.1176))</f>
        <v>NOT POSSIBLE</v>
      </c>
      <c r="E10" s="389" t="str">
        <f>IF(D41="UDEN FOR OMRÅDET","NOT POSSIBLE",IF($B$5&lt;30,14.3,((((-0.000003*B5^2+0.0097*B5+13.982))))))</f>
        <v>NOT POSSIBLE</v>
      </c>
      <c r="J10" s="21"/>
    </row>
    <row r="11" spans="1:11" x14ac:dyDescent="0.2">
      <c r="A11" s="492" t="s">
        <v>95</v>
      </c>
      <c r="B11" s="487" t="s">
        <v>447</v>
      </c>
      <c r="C11" s="487" t="s">
        <v>531</v>
      </c>
      <c r="D11" s="491" t="str">
        <f>IF(D42="UDEN FOR OMRÅDET","NOT POSSIBLE",(0.0111*B5-0.1246))</f>
        <v>NOT POSSIBLE</v>
      </c>
      <c r="E11" s="389" t="str">
        <f>IF(D42="UDEN FOR OMRÅDET","NOT POSSIBLE",IF($B$5&lt;66,14.6,((((-0.000003*B5^2+0.0097*B5+13.982))))))</f>
        <v>NOT POSSIBLE</v>
      </c>
      <c r="J11" s="21"/>
    </row>
    <row r="12" spans="1:11" x14ac:dyDescent="0.2">
      <c r="A12" s="489" t="s">
        <v>96</v>
      </c>
      <c r="B12" s="490" t="s">
        <v>446</v>
      </c>
      <c r="C12" s="490" t="s">
        <v>531</v>
      </c>
      <c r="D12" s="491" t="str">
        <f>IF(D43="UDEN FOR OMRÅDET","NOT POSSIBLE",(0.0206*B5-0.1176))</f>
        <v>NOT POSSIBLE</v>
      </c>
      <c r="E12" s="389" t="str">
        <f>IF(D43="UDEN FOR OMRÅDET","NOT POSSIBLE",IF($B$5&lt;30,14.3,((((-0.000003*B5^2+0.0097*B5+13.982))))))</f>
        <v>NOT POSSIBLE</v>
      </c>
      <c r="J12" s="21"/>
    </row>
    <row r="13" spans="1:11" x14ac:dyDescent="0.2">
      <c r="A13" s="492" t="s">
        <v>97</v>
      </c>
      <c r="B13" s="487" t="s">
        <v>447</v>
      </c>
      <c r="C13" s="487" t="s">
        <v>531</v>
      </c>
      <c r="D13" s="491" t="str">
        <f>IF(D44="UDEN FOR OMRÅDET","NOT POSSIBLE",(0.0111*B5-0.1246))</f>
        <v>NOT POSSIBLE</v>
      </c>
      <c r="E13" s="389" t="str">
        <f>IF(D44="UDEN FOR OMRÅDET","NOT POSSIBLE",IF($B$5&lt;66,14.6,((((-0.000003*B5^2+0.0097*B5+13.982))))))</f>
        <v>NOT POSSIBLE</v>
      </c>
      <c r="J13" s="21"/>
    </row>
    <row r="14" spans="1:11" x14ac:dyDescent="0.2">
      <c r="A14" s="489" t="s">
        <v>98</v>
      </c>
      <c r="B14" s="490" t="s">
        <v>448</v>
      </c>
      <c r="C14" s="490" t="s">
        <v>521</v>
      </c>
      <c r="D14" s="491" t="str">
        <f>IF(D45="UDEN FOR OMRÅDET","NOT POSSIBLE",(0.0072*B5-0.1158))</f>
        <v>NOT POSSIBLE</v>
      </c>
      <c r="E14" s="389" t="str">
        <f>IF(D45="UDEN FOR OMRÅDET","NOT POSSIBLE",IF($B$5&lt;97,14.9,((((-0.000003*B5^2+0.0097*B5+13.982))))))</f>
        <v>NOT POSSIBLE</v>
      </c>
      <c r="J14" s="21"/>
    </row>
    <row r="15" spans="1:11" x14ac:dyDescent="0.2">
      <c r="A15" s="492" t="s">
        <v>458</v>
      </c>
      <c r="B15" s="487" t="s">
        <v>450</v>
      </c>
      <c r="C15" s="487" t="s">
        <v>523</v>
      </c>
      <c r="D15" s="491">
        <f>IF(D46="UDEN FOR OMRÅDET","NOT POSSIBLE",( 0.0031*B5-0.0739))</f>
        <v>3.0261</v>
      </c>
      <c r="E15" s="389">
        <f>IF(D46="UDEN FOR OMRÅDET","NOT POSSIBLE",IF($B$5&lt;219,16,((((-0.000003*B5^2+0.0097*B5+13.982))))))</f>
        <v>20.682000000000002</v>
      </c>
      <c r="J15" s="21"/>
    </row>
    <row r="16" spans="1:11" x14ac:dyDescent="0.2">
      <c r="A16" s="493" t="s">
        <v>751</v>
      </c>
      <c r="B16" s="494" t="s">
        <v>489</v>
      </c>
      <c r="C16" s="494" t="s">
        <v>532</v>
      </c>
      <c r="D16" s="491">
        <f>IF(D47="UDEN FOR OMRÅDET","NOT POSSIBLE",(ROUND(0.000000000000738*B5^4-0.000000003305773*B5^3+0.000004764953804*B5^2-0.000101647006109*B5+0.281655010967834,1)))</f>
        <v>2.4</v>
      </c>
      <c r="E16" s="389">
        <f>IF(D47="UDEN FOR OMRÅDET","NOT POSSIBLE",IF($B$5&lt;219,16,((((-1.338352*D16^4+13.061298*D16^3-41.975654*D16^2+55.306489*D16-2.920448))))))</f>
        <v>24.191434796799989</v>
      </c>
      <c r="J16" s="21"/>
    </row>
    <row r="17" spans="1:10" x14ac:dyDescent="0.2">
      <c r="A17" s="492" t="s">
        <v>99</v>
      </c>
      <c r="B17" s="487" t="s">
        <v>448</v>
      </c>
      <c r="C17" s="487" t="s">
        <v>521</v>
      </c>
      <c r="D17" s="491" t="str">
        <f>IF(D48="UDEN FOR OMRÅDET","NOT POSSIBLE",(0.0072*B5-0.1158))</f>
        <v>NOT POSSIBLE</v>
      </c>
      <c r="E17" s="389" t="str">
        <f>IF(D48="UDEN FOR OMRÅDET","NOT POSSIBLE",IF($B$5&lt;97,14.9,((((-0.000003*B5^2+0.0097*B5+13.982))))))</f>
        <v>NOT POSSIBLE</v>
      </c>
      <c r="J17" s="21"/>
    </row>
    <row r="18" spans="1:10" x14ac:dyDescent="0.2">
      <c r="A18" s="729" t="s">
        <v>598</v>
      </c>
      <c r="B18" s="494" t="s">
        <v>449</v>
      </c>
      <c r="C18" s="494" t="s">
        <v>521</v>
      </c>
      <c r="D18" s="491" t="str">
        <f>IF(D49="UDEN FOR OMRÅDET","NOT POSSIBLE",( 0.0041*B5-0.0554))</f>
        <v>NOT POSSIBLE</v>
      </c>
      <c r="E18" s="389" t="str">
        <f>IF(D49="UDEN FOR OMRÅDET","NOT POSSIBLE",IF($B$5&lt;157,15.4,((((-0.000003*B5^2+0.0097*B5+13.982))))))</f>
        <v>NOT POSSIBLE</v>
      </c>
      <c r="J18" s="21"/>
    </row>
    <row r="19" spans="1:10" x14ac:dyDescent="0.2">
      <c r="A19" s="492" t="s">
        <v>101</v>
      </c>
      <c r="B19" s="487" t="s">
        <v>450</v>
      </c>
      <c r="C19" s="487" t="s">
        <v>523</v>
      </c>
      <c r="D19" s="491">
        <f>IF(D50="UDEN FOR OMRÅDET","NOT POSSIBLE",( 0.0031*B5-0.0739))</f>
        <v>3.0261</v>
      </c>
      <c r="E19" s="389">
        <f>IF(D50="UDEN FOR OMRÅDET","NOT POSSIBLE",IF($B$5&lt;219,16,((((-0.000003*B5^2+0.0097*B5+13.982))))))</f>
        <v>20.682000000000002</v>
      </c>
      <c r="J19" s="21"/>
    </row>
    <row r="20" spans="1:10" x14ac:dyDescent="0.2">
      <c r="A20" s="493" t="s">
        <v>486</v>
      </c>
      <c r="B20" s="494" t="s">
        <v>489</v>
      </c>
      <c r="C20" s="494" t="s">
        <v>532</v>
      </c>
      <c r="D20" s="491">
        <f>IF(D51="UDEN FOR OMRÅDET","NOT POSSIBLE",(ROUND(0.000000000000738*B5^4-0.000000003305773*B5^3+0.000004764953804*B5^2-0.000101647006109*B5+0.281655010967834,1)))</f>
        <v>2.4</v>
      </c>
      <c r="E20" s="389">
        <f>IF(D51="UDEN FOR OMRÅDET","NOT POSSIBLE",IF($B$5&lt;219,16,((((-1.338352*D20^4+13.061298*D20^3-41.975654*D20^2+55.306489*D20-2.920448))))))</f>
        <v>24.191434796799989</v>
      </c>
      <c r="J20" s="21"/>
    </row>
    <row r="21" spans="1:10" x14ac:dyDescent="0.2">
      <c r="A21" s="492" t="s">
        <v>487</v>
      </c>
      <c r="B21" s="487" t="s">
        <v>490</v>
      </c>
      <c r="C21" s="487" t="s">
        <v>521</v>
      </c>
      <c r="D21" s="491">
        <f>IF(D52="UDEN FOR OMRÅDET","NOT POSSIBLE",(ROUND(1.4E-19*B5^6-1.19861E-15*B5^5+4.13643328E-12*B5^4-7.13978266724E-09*B5^3+5.84387840760556E-06*B5^2+0.000579276541885037*B5+0.11330832994119,1)))</f>
        <v>2.5</v>
      </c>
      <c r="E21" s="389">
        <f>IF(D52="UDEN FOR OMRÅDET","NOT POSSIBLE",IF($B$5&lt;219,16,((((-0.0488*D21^4+1.2823*D21^3-4.3242*D21^2+6.5949*D21+12.629))))))</f>
        <v>20.219687499999999</v>
      </c>
      <c r="J21" s="21"/>
    </row>
    <row r="22" spans="1:10" x14ac:dyDescent="0.2">
      <c r="A22" s="493" t="s">
        <v>488</v>
      </c>
      <c r="B22" s="494" t="s">
        <v>456</v>
      </c>
      <c r="C22" s="494" t="s">
        <v>533</v>
      </c>
      <c r="D22" s="491">
        <f>IF(D53="UDEN FOR OMRÅDET","NOT POSSIBLE",( 0.00113*B5-0.077966))</f>
        <v>1.0520339999999999</v>
      </c>
      <c r="E22" s="389">
        <f>IF(D53="UDEN FOR OMRÅDET","NOT POSSIBLE",IF($B$5&lt;600,17.3,((((0.1565*D22^3-0.4391*D22^2+0.7641*D22+16.949))))))</f>
        <v>17.449097241073726</v>
      </c>
      <c r="J22" s="21"/>
    </row>
    <row r="23" spans="1:10" x14ac:dyDescent="0.2">
      <c r="A23" s="492" t="s">
        <v>40</v>
      </c>
      <c r="B23" s="487" t="s">
        <v>457</v>
      </c>
      <c r="C23" s="487" t="s">
        <v>532</v>
      </c>
      <c r="D23" s="491">
        <f>IF(D54="UDEN FOR OMRÅDET","NOT POSSIBLE",( 0.000985*B5+0.058128))</f>
        <v>1.0431280000000001</v>
      </c>
      <c r="E23" s="389">
        <f>IF(D54="UDEN FOR OMRÅDET","NOT POSSIBLE",IF($B$5&lt;550,17.9,((((0.319164*D23^3-1.007683*D23^2+1.622683*D23+17.20149))))))</f>
        <v>18.159945329127069</v>
      </c>
      <c r="J23" s="21"/>
    </row>
    <row r="24" spans="1:10" x14ac:dyDescent="0.2">
      <c r="A24" s="493" t="s">
        <v>41</v>
      </c>
      <c r="B24" s="494" t="s">
        <v>464</v>
      </c>
      <c r="C24" s="494" t="s">
        <v>534</v>
      </c>
      <c r="D24" s="491" t="str">
        <f>IF(D55="UDEN FOR OMRÅDET","NOT POSSIBLE",(0.00000000000288*B5^3-0.0000000664956*B5^2+0.00083885974318*B5-0.43240908305444))</f>
        <v>NOT POSSIBLE</v>
      </c>
      <c r="E24" s="399" t="str">
        <f>IF(D55="UDEN FOR OMRÅDET","NOT POSSIBLE",IF($B$5&lt;1370,10,((((-0.00000000000001*B5^4+0.00000000017355*B5^3-0.00000068604015*B5^2+0.00101346313061*B5+9.48796472736388))))))</f>
        <v>NOT POSSIBLE</v>
      </c>
      <c r="J24" s="21"/>
    </row>
    <row r="25" spans="1:10" ht="13.5" thickBot="1" x14ac:dyDescent="0.25">
      <c r="A25" s="310" t="s">
        <v>42</v>
      </c>
      <c r="B25" s="311" t="s">
        <v>465</v>
      </c>
      <c r="C25" s="311" t="s">
        <v>534</v>
      </c>
      <c r="D25" s="394" t="str">
        <f>IF(D56="UDEN FOR OMRÅDET","NOT POSSIBLE",(0.0000000000026361*B5^3-0.0000000676435205*B5^2+0.0008135531716385*B5-0.4034323654908))</f>
        <v>NOT POSSIBLE</v>
      </c>
      <c r="E25" s="400" t="str">
        <f>IF(D56="UDEN FOR OMRÅDET","NOT POSSIBLE",IF($B$5&lt;1370,10,((((-0.0000000000124303*B5^3+0.000000413233432*B5^2-0.0009155917685558*B5+10.7948844712801))))))</f>
        <v>NOT POSSIBLE</v>
      </c>
      <c r="J25" s="21"/>
    </row>
    <row r="26" spans="1:10" ht="13.5" thickTop="1" x14ac:dyDescent="0.2">
      <c r="A26" s="440" t="s">
        <v>599</v>
      </c>
      <c r="J26" s="21"/>
    </row>
    <row r="27" spans="1:10" x14ac:dyDescent="0.2">
      <c r="A27" s="22"/>
      <c r="J27" s="21"/>
    </row>
    <row r="28" spans="1:10" x14ac:dyDescent="0.2">
      <c r="A28" s="22"/>
      <c r="J28" s="21"/>
    </row>
    <row r="29" spans="1:10" x14ac:dyDescent="0.2">
      <c r="A29" s="22"/>
      <c r="J29" s="21"/>
    </row>
    <row r="30" spans="1:10" x14ac:dyDescent="0.2">
      <c r="A30" s="22"/>
      <c r="J30" s="21"/>
    </row>
    <row r="31" spans="1:10" x14ac:dyDescent="0.2">
      <c r="A31" s="22"/>
      <c r="J31" s="21"/>
    </row>
    <row r="32" spans="1:10" x14ac:dyDescent="0.2">
      <c r="A32" s="22"/>
      <c r="J32" s="21"/>
    </row>
    <row r="33" spans="1:10" x14ac:dyDescent="0.2">
      <c r="A33" s="22"/>
      <c r="J33" s="21"/>
    </row>
    <row r="34" spans="1:10" x14ac:dyDescent="0.2">
      <c r="A34" s="22"/>
      <c r="J34" s="21"/>
    </row>
    <row r="35" spans="1:10" x14ac:dyDescent="0.2">
      <c r="A35" s="22"/>
      <c r="J35" s="21"/>
    </row>
    <row r="36" spans="1:10" x14ac:dyDescent="0.2">
      <c r="A36" s="22"/>
      <c r="E36" s="26"/>
      <c r="J36" s="21"/>
    </row>
    <row r="37" spans="1:10" ht="13.5" thickBot="1" x14ac:dyDescent="0.25">
      <c r="A37" s="313" t="s">
        <v>102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0" ht="10.5" hidden="1" customHeight="1" thickTop="1" x14ac:dyDescent="0.2"/>
    <row r="39" spans="1:10" hidden="1" x14ac:dyDescent="0.2"/>
    <row r="40" spans="1:10" ht="13.5" hidden="1" thickTop="1" x14ac:dyDescent="0.2">
      <c r="A40" s="9" t="s">
        <v>0</v>
      </c>
      <c r="B40" s="10" t="s">
        <v>4</v>
      </c>
      <c r="C40" s="10" t="s">
        <v>5</v>
      </c>
      <c r="D40" s="11" t="s">
        <v>6</v>
      </c>
    </row>
    <row r="41" spans="1:10" hidden="1" x14ac:dyDescent="0.2">
      <c r="A41" s="327" t="s">
        <v>94</v>
      </c>
      <c r="B41" s="36">
        <v>30</v>
      </c>
      <c r="C41" s="1">
        <v>200</v>
      </c>
      <c r="D41" s="2" t="str">
        <f t="shared" ref="D41:D54" si="0">IF($B$5&lt;=B41-1,"UDEN FOR OMRÅDET",IF($B$5&gt;=C41+1,"UDEN FOR OMRÅDET",$B$5))</f>
        <v>UDEN FOR OMRÅDET</v>
      </c>
    </row>
    <row r="42" spans="1:10" hidden="1" x14ac:dyDescent="0.2">
      <c r="A42" s="309" t="s">
        <v>95</v>
      </c>
      <c r="B42" s="36">
        <v>65</v>
      </c>
      <c r="C42" s="1">
        <v>370</v>
      </c>
      <c r="D42" s="2" t="str">
        <f t="shared" si="0"/>
        <v>UDEN FOR OMRÅDET</v>
      </c>
    </row>
    <row r="43" spans="1:10" hidden="1" x14ac:dyDescent="0.2">
      <c r="A43" s="327" t="s">
        <v>96</v>
      </c>
      <c r="B43" s="36">
        <v>30</v>
      </c>
      <c r="C43" s="1">
        <v>200</v>
      </c>
      <c r="D43" s="2" t="str">
        <f t="shared" si="0"/>
        <v>UDEN FOR OMRÅDET</v>
      </c>
    </row>
    <row r="44" spans="1:10" hidden="1" x14ac:dyDescent="0.2">
      <c r="A44" s="309" t="s">
        <v>97</v>
      </c>
      <c r="B44" s="36">
        <v>65</v>
      </c>
      <c r="C44" s="1">
        <v>370</v>
      </c>
      <c r="D44" s="2" t="str">
        <f t="shared" si="0"/>
        <v>UDEN FOR OMRÅDET</v>
      </c>
    </row>
    <row r="45" spans="1:10" hidden="1" x14ac:dyDescent="0.2">
      <c r="A45" s="327" t="s">
        <v>98</v>
      </c>
      <c r="B45" s="36">
        <v>100</v>
      </c>
      <c r="C45" s="1">
        <v>575</v>
      </c>
      <c r="D45" s="2" t="str">
        <f t="shared" si="0"/>
        <v>UDEN FOR OMRÅDET</v>
      </c>
    </row>
    <row r="46" spans="1:10" hidden="1" x14ac:dyDescent="0.2">
      <c r="A46" s="309" t="s">
        <v>458</v>
      </c>
      <c r="B46" s="2">
        <v>220</v>
      </c>
      <c r="C46" s="2">
        <v>1330</v>
      </c>
      <c r="D46" s="2">
        <f t="shared" ref="D46:D47" si="1">IF($B$5&lt;=B46-1,"UDEN FOR OMRÅDET",IF($B$5&gt;=C46+1,"UDEN FOR OMRÅDET",$B$5))</f>
        <v>1000</v>
      </c>
    </row>
    <row r="47" spans="1:10" hidden="1" x14ac:dyDescent="0.2">
      <c r="A47" s="328" t="s">
        <v>751</v>
      </c>
      <c r="B47" s="2">
        <v>300</v>
      </c>
      <c r="C47" s="2">
        <v>1800</v>
      </c>
      <c r="D47" s="2">
        <f t="shared" si="1"/>
        <v>1000</v>
      </c>
    </row>
    <row r="48" spans="1:10" hidden="1" x14ac:dyDescent="0.2">
      <c r="A48" s="309" t="s">
        <v>99</v>
      </c>
      <c r="B48" s="36">
        <v>100</v>
      </c>
      <c r="C48" s="1">
        <v>575</v>
      </c>
      <c r="D48" s="2" t="str">
        <f t="shared" si="0"/>
        <v>UDEN FOR OMRÅDET</v>
      </c>
    </row>
    <row r="49" spans="1:4" hidden="1" x14ac:dyDescent="0.2">
      <c r="A49" s="327" t="s">
        <v>100</v>
      </c>
      <c r="B49" s="36">
        <v>160</v>
      </c>
      <c r="C49" s="1">
        <v>990</v>
      </c>
      <c r="D49" s="2" t="str">
        <f t="shared" si="0"/>
        <v>UDEN FOR OMRÅDET</v>
      </c>
    </row>
    <row r="50" spans="1:4" hidden="1" x14ac:dyDescent="0.2">
      <c r="A50" s="309" t="s">
        <v>101</v>
      </c>
      <c r="B50" s="2">
        <v>220</v>
      </c>
      <c r="C50" s="2">
        <v>1330</v>
      </c>
      <c r="D50" s="2">
        <f t="shared" si="0"/>
        <v>1000</v>
      </c>
    </row>
    <row r="51" spans="1:4" hidden="1" x14ac:dyDescent="0.2">
      <c r="A51" s="328" t="s">
        <v>486</v>
      </c>
      <c r="B51" s="2">
        <v>300</v>
      </c>
      <c r="C51" s="2">
        <v>1800</v>
      </c>
      <c r="D51" s="2">
        <f t="shared" si="0"/>
        <v>1000</v>
      </c>
    </row>
    <row r="52" spans="1:4" hidden="1" x14ac:dyDescent="0.2">
      <c r="A52" s="309" t="s">
        <v>487</v>
      </c>
      <c r="B52" s="2">
        <v>280</v>
      </c>
      <c r="C52" s="2">
        <v>1800</v>
      </c>
      <c r="D52" s="2">
        <f t="shared" si="0"/>
        <v>1000</v>
      </c>
    </row>
    <row r="53" spans="1:4" hidden="1" x14ac:dyDescent="0.2">
      <c r="A53" s="328" t="s">
        <v>488</v>
      </c>
      <c r="B53" s="315">
        <v>600</v>
      </c>
      <c r="C53" s="1">
        <v>3609</v>
      </c>
      <c r="D53" s="2">
        <f t="shared" si="0"/>
        <v>1000</v>
      </c>
    </row>
    <row r="54" spans="1:4" hidden="1" x14ac:dyDescent="0.2">
      <c r="A54" s="309" t="s">
        <v>40</v>
      </c>
      <c r="B54" s="315">
        <v>550</v>
      </c>
      <c r="C54" s="1">
        <v>4001</v>
      </c>
      <c r="D54" s="2">
        <f t="shared" si="0"/>
        <v>1000</v>
      </c>
    </row>
    <row r="55" spans="1:4" hidden="1" x14ac:dyDescent="0.2">
      <c r="A55" s="328" t="s">
        <v>41</v>
      </c>
      <c r="B55" s="315">
        <v>1370</v>
      </c>
      <c r="C55" s="1">
        <v>9500</v>
      </c>
      <c r="D55" s="2" t="str">
        <f t="shared" ref="D55:D56" si="2">IF($B$5&lt;=B55-1,"UDEN FOR OMRÅDET",IF($B$5&gt;=C55+1,"UDEN FOR OMRÅDET",$B$5))</f>
        <v>UDEN FOR OMRÅDET</v>
      </c>
    </row>
    <row r="56" spans="1:4" ht="13.5" hidden="1" thickBot="1" x14ac:dyDescent="0.25">
      <c r="A56" s="310" t="s">
        <v>42</v>
      </c>
      <c r="B56" s="316">
        <v>1400</v>
      </c>
      <c r="C56" s="317">
        <v>11500</v>
      </c>
      <c r="D56" s="16" t="str">
        <f t="shared" si="2"/>
        <v>UDEN FOR OMRÅDET</v>
      </c>
    </row>
    <row r="57" spans="1:4" hidden="1" x14ac:dyDescent="0.2"/>
    <row r="58" spans="1:4" ht="13.5" thickTop="1" x14ac:dyDescent="0.2"/>
  </sheetData>
  <sheetProtection sheet="1" objects="1" scenarios="1"/>
  <mergeCells count="5">
    <mergeCell ref="A2:J2"/>
    <mergeCell ref="D8:E8"/>
    <mergeCell ref="A8:A9"/>
    <mergeCell ref="B8:C8"/>
    <mergeCell ref="A1:J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9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46" t="s">
        <v>677</v>
      </c>
      <c r="B1" s="747"/>
      <c r="C1" s="747"/>
      <c r="D1" s="747"/>
      <c r="E1" s="747"/>
      <c r="F1" s="747"/>
      <c r="G1" s="747"/>
      <c r="H1" s="747"/>
      <c r="I1" s="747"/>
      <c r="J1" s="748"/>
      <c r="K1" s="330"/>
    </row>
    <row r="2" spans="1:11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0"/>
      <c r="J2" s="741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20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49" t="s">
        <v>600</v>
      </c>
      <c r="B8" s="742" t="s">
        <v>49</v>
      </c>
      <c r="C8" s="742"/>
      <c r="D8" s="742" t="s">
        <v>59</v>
      </c>
      <c r="E8" s="743"/>
      <c r="J8" s="338"/>
    </row>
    <row r="9" spans="1:11" x14ac:dyDescent="0.2">
      <c r="A9" s="750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731" t="s">
        <v>603</v>
      </c>
      <c r="B10" s="732" t="s">
        <v>629</v>
      </c>
      <c r="C10" s="732" t="s">
        <v>534</v>
      </c>
      <c r="D10" s="733" t="str">
        <f>IF(D51="UDEN FOR OMRÅDET","NOT POSSIBLE",(-0.0000744443770088754*B5^4+0.00292171308841865*B5^3-0.0567173967219805*B5^2+0.756668136435242*B5-0.344917179650021))</f>
        <v>NOT POSSIBLE</v>
      </c>
      <c r="E10" s="734" t="str">
        <f>IF(D51="UDEN FOR OMRÅDET","NOT POSSIBLE",IF($B$5&lt;1.4,10,((((-0.570728291317209*D10^4+5.37394957984688*D10^3-14.4754901961331*D10^2+16.3697478992248*D10+4.30252100841313))))))</f>
        <v>NOT POSSIBLE</v>
      </c>
      <c r="J10" s="338"/>
    </row>
    <row r="11" spans="1:11" x14ac:dyDescent="0.2">
      <c r="A11" s="735" t="s">
        <v>602</v>
      </c>
      <c r="B11" s="736" t="s">
        <v>630</v>
      </c>
      <c r="C11" s="736" t="s">
        <v>519</v>
      </c>
      <c r="D11" s="733" t="str">
        <f>IF(D52="UDEN FOR OMRÅDET","NOT POSSIBLE",(-0.0007*B5^3+0.0111*B5^2+0.2671*B5-0.1437))</f>
        <v>NOT POSSIBLE</v>
      </c>
      <c r="E11" s="734" t="str">
        <f>IF(D52="UDEN FOR OMRÅDET","NOT POSSIBLE",IF($B$5&lt;3.9,6.5,((((0.25*D11^3-0.25*D11^2+0.5*D11+6))))))</f>
        <v>NOT POSSIBLE</v>
      </c>
      <c r="J11" s="338"/>
    </row>
    <row r="12" spans="1:11" x14ac:dyDescent="0.2">
      <c r="A12" s="731" t="s">
        <v>601</v>
      </c>
      <c r="B12" s="737" t="s">
        <v>631</v>
      </c>
      <c r="C12" s="737" t="s">
        <v>520</v>
      </c>
      <c r="D12" s="733">
        <f>IF(D53="UDEN FOR OMRÅDET","NOT POSSIBLE",(-0.000159*B5^3+0.004239*B5^2+0.159774*B5-0.099711))</f>
        <v>3.5193689999999993</v>
      </c>
      <c r="E12" s="734">
        <f>IF(D53="UDEN FOR OMRÅDET","NOT POSSIBLE",IF($B$5&lt;6.2,19,((((0.6667*D12^3-0.5*D12^2-1.1667*D12+20))))))</f>
        <v>38.762930918611339</v>
      </c>
      <c r="J12" s="338"/>
    </row>
    <row r="13" spans="1:11" x14ac:dyDescent="0.2">
      <c r="A13" s="735" t="s">
        <v>604</v>
      </c>
      <c r="B13" s="738" t="s">
        <v>632</v>
      </c>
      <c r="C13" s="738" t="s">
        <v>534</v>
      </c>
      <c r="D13" s="733" t="str">
        <f>IF(D54="UDEN FOR OMRÅDET","NOT POSSIBLE",(0.000162715270821789*B5^4-0.00644657529408476*B5^3+0.0820069584470269*B5^2-0.0966295248455586*B5+0.304399840266505))</f>
        <v>NOT POSSIBLE</v>
      </c>
      <c r="E13" s="734" t="str">
        <f>IF(D54="UDEN FOR OMRÅDET","NOT POSSIBLE",IF($B$5&lt;5.73,10,((((0.381652661064663*D13^4-2.81652661064563*D13^3+7.35784313724913*D13^2-7.08263305321513*D13+12.1596638655624))))))</f>
        <v>NOT POSSIBLE</v>
      </c>
      <c r="J13" s="338"/>
    </row>
    <row r="14" spans="1:11" x14ac:dyDescent="0.2">
      <c r="A14" s="731" t="s">
        <v>605</v>
      </c>
      <c r="B14" s="737" t="s">
        <v>633</v>
      </c>
      <c r="C14" s="737" t="s">
        <v>520</v>
      </c>
      <c r="D14" s="733">
        <f>IF(D55="UDEN FOR OMRÅDET","NOT POSSIBLE",(0.0000321790932243382*B5^4-0.00197303164643433*B5^3+0.0390993234943823*B5^2-0.0988674213775071*B5+0.459262482859325))</f>
        <v>3.4860451974815732</v>
      </c>
      <c r="E14" s="734">
        <f>IF(D55="UDEN FOR OMRÅDET","NOT POSSIBLE",IF($B$5&lt;8.53,19,((((0.491946778711736*D14^4-2.9194677871139*D14^3+6.71813725488853*D14^2-6.09733893556909*D14+20.8067226891174))))))</f>
        <v>30.164870338034969</v>
      </c>
      <c r="J14" s="338"/>
    </row>
    <row r="15" spans="1:11" x14ac:dyDescent="0.2">
      <c r="A15" s="735" t="s">
        <v>608</v>
      </c>
      <c r="B15" s="736" t="s">
        <v>634</v>
      </c>
      <c r="C15" s="736" t="s">
        <v>521</v>
      </c>
      <c r="D15" s="733">
        <f>IF(D56="UDEN FOR OMRÅDET","NOT POSSIBLE",(-0.000124*B5^3+0.002487*B5^2+0.185365*B5-0.283831))</f>
        <v>3.426269</v>
      </c>
      <c r="E15" s="734">
        <f>IF(D56="UDEN FOR OMRÅDET","NOT POSSIBLE",IF($B$5&lt;6.6,15,((((0.6667*D15^3-4.5*D15^2+11.833*D15+7))))))</f>
        <v>21.532155582816142</v>
      </c>
      <c r="J15" s="338"/>
    </row>
    <row r="16" spans="1:11" x14ac:dyDescent="0.2">
      <c r="A16" s="731" t="s">
        <v>609</v>
      </c>
      <c r="B16" s="737" t="s">
        <v>635</v>
      </c>
      <c r="C16" s="737" t="s">
        <v>522</v>
      </c>
      <c r="D16" s="733">
        <f>IF(D57="UDEN FOR OMRÅDET","NOT POSSIBLE",(0.00000407*B5^4-0.00036799*B5^3+0.01016138*B5^2+0.03167768*B5+0.12121138))</f>
        <v>2.5265969799999999</v>
      </c>
      <c r="E16" s="734">
        <f>IF(D57="UDEN FOR OMRÅDET","NOT POSSIBLE",IF($B$5&lt;9.6,30,((((2.6667*D16^3-15.5*D16^2+29.833*D16+13))))))</f>
        <v>32.439988524479155</v>
      </c>
      <c r="J16" s="338"/>
    </row>
    <row r="17" spans="1:10" x14ac:dyDescent="0.2">
      <c r="A17" s="735" t="s">
        <v>606</v>
      </c>
      <c r="B17" s="738" t="s">
        <v>634</v>
      </c>
      <c r="C17" s="738" t="s">
        <v>521</v>
      </c>
      <c r="D17" s="733">
        <f>IF(D58="UDEN FOR OMRÅDET","NOT POSSIBLE",(0.0000154158212750388*B5^4-0.00101946376531805*B5^3+0.0204701933257057*B5^2+0.0404255250317372*B5+0.10611774711099))</f>
        <v>3.4135268594898212</v>
      </c>
      <c r="E17" s="734">
        <f>IF(D58="UDEN FOR OMRÅDET","NOT POSSIBLE",IF($B$5&lt;7.61,15,((((0.51995798319399*D17^4-4.53291316526902*D17^3+13.6985294117659*D17^2-14.164565826332*D17+19.4789915966622))))))</f>
        <v>21.045103582338772</v>
      </c>
      <c r="J17" s="338"/>
    </row>
    <row r="18" spans="1:10" x14ac:dyDescent="0.2">
      <c r="A18" s="731" t="s">
        <v>607</v>
      </c>
      <c r="B18" s="737" t="s">
        <v>635</v>
      </c>
      <c r="C18" s="737" t="s">
        <v>522</v>
      </c>
      <c r="D18" s="733">
        <f>IF(D59="UDEN FOR OMRÅDET","NOT POSSIBLE",(4.02608466046339E-06*B5^4-0.00035802565478112*B5^3+0.00963888626697573*B5^2+0.0408604909263801*B5+0.0760791413266123))</f>
        <v>2.5288117740696889</v>
      </c>
      <c r="E18" s="734">
        <f>IF(D59="UDEN FOR OMRÅDET","NOT POSSIBLE",IF($B$5&lt;17.4,27,(((( 0.330882352941899*D18^4-1.14215686274219*D18^3+1.08088235290768*D18^2-0.210784313687138*D18+26.9411764706273))))))</f>
        <v>28.381212366432717</v>
      </c>
      <c r="J18" s="338"/>
    </row>
    <row r="19" spans="1:10" x14ac:dyDescent="0.2">
      <c r="A19" s="735" t="s">
        <v>610</v>
      </c>
      <c r="B19" s="736" t="s">
        <v>636</v>
      </c>
      <c r="C19" s="736" t="s">
        <v>523</v>
      </c>
      <c r="D19" s="733">
        <f>IF(D60="UDEN FOR OMRÅDET","NOT POSSIBLE",(-0.000044*B5^3+0.000728*B5^2+0.150689*B5-0.254301))</f>
        <v>2.6986789999999998</v>
      </c>
      <c r="E19" s="734">
        <f>IF(D60="UDEN FOR OMRÅDET","NOT POSSIBLE",IF($B$5&lt;17.7,9,IF($B$5&lt;20.8,10,((((-0.0006059886*$B$5^4+0.0649009611*$B$5^3-2.5628151651*$B$5^2+44.8712899721*$B$5-285.0821289645)))))))</f>
        <v>10</v>
      </c>
      <c r="J19" s="338"/>
    </row>
    <row r="20" spans="1:10" x14ac:dyDescent="0.2">
      <c r="A20" s="731" t="s">
        <v>611</v>
      </c>
      <c r="B20" s="737" t="s">
        <v>637</v>
      </c>
      <c r="C20" s="737" t="s">
        <v>524</v>
      </c>
      <c r="D20" s="733">
        <f>IF(D61="UDEN FOR OMRÅDET","NOT POSSIBLE",(0.00000156*B5^4-0.0001838*B5^3+0.00652234*B5^2+0.0239868*B5+0.17174038))</f>
        <v>2.0396123799999999</v>
      </c>
      <c r="E20" s="734">
        <f>IF(D61="UDEN FOR OMRÅDET","NOT POSSIBLE",IF($B$5&lt;16.3,15,IF($B$5&lt;21.5,16,IF($B$5&lt;25.2,17,((((0.0000276161*$B$5^4-0.0039238974*$B$5^3+0.2208392282*$B$5^2-5.0743110519*$B$5+56.3883348314))))))))</f>
        <v>16</v>
      </c>
      <c r="J20" s="338"/>
    </row>
    <row r="21" spans="1:10" x14ac:dyDescent="0.2">
      <c r="A21" s="735" t="s">
        <v>612</v>
      </c>
      <c r="B21" s="738" t="s">
        <v>636</v>
      </c>
      <c r="C21" s="738" t="s">
        <v>523</v>
      </c>
      <c r="D21" s="733">
        <f>IF(D62="UDEN FOR OMRÅDET","NOT POSSIBLE",(5.52735737038498E-06*B5^4-0.000478613284121367*B5^3+0.0124468737679663*B5^2+0.0252938291981023*B5+0.181504498124926))</f>
        <v>2.721601495564153</v>
      </c>
      <c r="E21" s="734">
        <f>IF(D62="UDEN FOR OMRÅDET","NOT POSSIBLE",IF($B$5&lt;17.7,9,IF($B$5&lt;20.8,10,((((-0.0006059886*$B$5^4+0.0649009611*$B$5^3-2.5628151651*$B$5^2+44.8712899721*$B$5-285.0821289645)))))))</f>
        <v>10</v>
      </c>
      <c r="J21" s="338"/>
    </row>
    <row r="22" spans="1:10" x14ac:dyDescent="0.2">
      <c r="A22" s="731" t="s">
        <v>613</v>
      </c>
      <c r="B22" s="737" t="s">
        <v>637</v>
      </c>
      <c r="C22" s="737" t="s">
        <v>524</v>
      </c>
      <c r="D22" s="733">
        <f>IF(D63="UDEN FOR OMRÅDET","NOT POSSIBLE",(1.85657689749825E-06*B5^4-0.000211283125968968*B5^3+0.00739115989499179*B5^2+0.0133987970128351*B5+0.212256324155116))</f>
        <v>2.0434835182565103</v>
      </c>
      <c r="E22" s="734">
        <f>IF(D63="UDEN FOR OMRÅDET","NOT POSSIBLE",IF($B$5&lt;16.3,15,IF($B$5&lt;21.5,16,IF($B$5&lt;25.2,17,((((0.0000276161*$B$5^4-0.0039238974*$B$5^3+0.2208392282*$B$5^2-5.0743110519*$B$5+56.3883348314))))))))</f>
        <v>16</v>
      </c>
      <c r="J22" s="338"/>
    </row>
    <row r="23" spans="1:10" x14ac:dyDescent="0.2">
      <c r="A23" s="735" t="s">
        <v>614</v>
      </c>
      <c r="B23" s="736" t="s">
        <v>638</v>
      </c>
      <c r="C23" s="736" t="s">
        <v>525</v>
      </c>
      <c r="D23" s="733">
        <f>IF(D64="UDEN FOR OMRÅDET","NOT POSSIBLE",(0.0000006139*B5^4-0.000106561*B5^3+0.0058288674*B5^2-0.0444580014*B5+0.4579242305))</f>
        <v>1.1460471624999997</v>
      </c>
      <c r="E23" s="734">
        <f>IF(D64="UDEN FOR OMRÅDET","NOT POSSIBLE",IF($B$5&lt;32.5,10,IF($B$5&lt;37.7,11,((((-0.0000319427*$B$5^4+0.0064092589*$B$5^3-0.4670887171*$B$5^2+15.0643654482*$B$5-171.8814946255)))))))</f>
        <v>10</v>
      </c>
      <c r="J23" s="338"/>
    </row>
    <row r="24" spans="1:10" x14ac:dyDescent="0.2">
      <c r="A24" s="731" t="s">
        <v>615</v>
      </c>
      <c r="B24" s="737" t="s">
        <v>639</v>
      </c>
      <c r="C24" s="737" t="s">
        <v>522</v>
      </c>
      <c r="D24" s="733">
        <f>IF(D65="UDEN FOR OMRÅDET","NOT POSSIBLE",(0.0000002014*B5^4-0.0000448209*B5^3+0.0030842417*B5^2-0.0208500823*B5+0.3651879533))</f>
        <v>0.85553978729999991</v>
      </c>
      <c r="E24" s="734">
        <f>IF(D65="UDEN FOR OMRÅDET","NOT POSSIBLE",IF($B$5&lt;44.6,16,((((0.0000007095*$B$5^4-0.0003256283*$B$5^3+0.0495869294*$B$5^2-2.412171463*$B$5+51.2332624781))))))</f>
        <v>16</v>
      </c>
      <c r="J24" s="338"/>
    </row>
    <row r="25" spans="1:10" x14ac:dyDescent="0.2">
      <c r="A25" s="735" t="s">
        <v>616</v>
      </c>
      <c r="B25" s="738" t="s">
        <v>638</v>
      </c>
      <c r="C25" s="738" t="s">
        <v>525</v>
      </c>
      <c r="D25" s="733">
        <f>IF(D66="UDEN FOR OMRÅDET","NOT POSSIBLE",(0.0000006070301058743*B5^4-0.000105050925091951*B5^3+0.00571998166320535*B5^2-0.0415516068976193*B5+0.43691092585702))</f>
        <v>1.150588869391054</v>
      </c>
      <c r="E25" s="734">
        <f>IF(D66="UDEN FOR OMRÅDET","NOT POSSIBLE",IF($B$5&lt;32.5,10,IF($B$5&lt;37.7,11,((((-0.0000319427*$B$5^4+0.0064092589*$B$5^3-0.4670887171*$B$5^2+15.0643654482*$B$5-171.8814946255)))))))</f>
        <v>10</v>
      </c>
      <c r="J25" s="338"/>
    </row>
    <row r="26" spans="1:10" x14ac:dyDescent="0.2">
      <c r="A26" s="731" t="s">
        <v>617</v>
      </c>
      <c r="B26" s="737" t="s">
        <v>639</v>
      </c>
      <c r="C26" s="737" t="s">
        <v>522</v>
      </c>
      <c r="D26" s="733">
        <f>IF(D67="UDEN FOR OMRÅDET","NOT POSSIBLE",(0.0000002001639999614*B5^4-0.0000446659090155319*B5^3+0.0030814204700492*B5^2-0.0209708963404282*B5+0.366473500264836))</f>
        <v>0.85432272934552089</v>
      </c>
      <c r="E26" s="734">
        <f>IF(D67="UDEN FOR OMRÅDET","NOT POSSIBLE",IF($B$5&lt;44.6,16,((((0.0000007095*$B$5^4-0.0003256283*$B$5^3+0.0495869294*$B$5^2-2.412171463*$B$5+51.2332624781))))))</f>
        <v>16</v>
      </c>
      <c r="J26" s="338"/>
    </row>
    <row r="27" spans="1:10" x14ac:dyDescent="0.2">
      <c r="A27" s="735" t="s">
        <v>618</v>
      </c>
      <c r="B27" s="736" t="s">
        <v>640</v>
      </c>
      <c r="C27" s="736" t="s">
        <v>523</v>
      </c>
      <c r="D27" s="733">
        <f>IF(D68="UDEN FOR OMRÅDET","NOT POSSIBLE",(-0.0000024*B5^3+0.00033459*B5^2+0.02873223*B5-0.03574711))</f>
        <v>0.65353349000000005</v>
      </c>
      <c r="E27" s="734">
        <f>IF(D68="UDEN FOR OMRÅDET","NOT POSSIBLE",IF($B$5&lt;28.5,16,((((0.00004639*B5^3-0.00631449*B5^2+0.36332191*B5+9.70047171))))))</f>
        <v>16</v>
      </c>
      <c r="J27" s="338"/>
    </row>
    <row r="28" spans="1:10" x14ac:dyDescent="0.2">
      <c r="A28" s="731" t="s">
        <v>619</v>
      </c>
      <c r="B28" s="737" t="s">
        <v>641</v>
      </c>
      <c r="C28" s="737" t="s">
        <v>526</v>
      </c>
      <c r="D28" s="733" t="str">
        <f>IF(D69="UDEN FOR OMRÅDET","NOT POSSIBLE",(0.0000000087*B5^4-0.0000042912*B5^3+0.000602127*B5^2+0.0030265472*B5+0.2709223762))</f>
        <v>NOT POSSIBLE</v>
      </c>
      <c r="E28" s="734" t="str">
        <f>IF(D69="UDEN FOR OMRÅDET","NOT POSSIBLE",IF($B$5&lt;36.5,27,((((0.00003815*B5^3-0.00623625*B5^2+0.39933964*B5+18.87714266))))))</f>
        <v>NOT POSSIBLE</v>
      </c>
      <c r="J28" s="338"/>
    </row>
    <row r="29" spans="1:10" x14ac:dyDescent="0.2">
      <c r="A29" s="735" t="s">
        <v>620</v>
      </c>
      <c r="B29" s="736" t="s">
        <v>642</v>
      </c>
      <c r="C29" s="736" t="s">
        <v>527</v>
      </c>
      <c r="D29" s="733" t="str">
        <f>IF(D70="UDEN FOR OMRÅDET","NOT POSSIBLE",(0.0000000079*B5^4-0.0000031427*B5^3+0.0003781874*B5^2+0.0139576939*B5+0.0433215217))</f>
        <v>NOT POSSIBLE</v>
      </c>
      <c r="E29" s="734" t="str">
        <f>IF(D70="UDEN FOR OMRÅDET","NOT POSSIBLE",IF($B$5&lt;70.4,21,((((-1.6666666667*D29^3+13.5*D29^2-27.8333333333*D29+37))))))</f>
        <v>NOT POSSIBLE</v>
      </c>
      <c r="J29" s="338"/>
    </row>
    <row r="30" spans="1:10" x14ac:dyDescent="0.2">
      <c r="A30" s="731" t="s">
        <v>621</v>
      </c>
      <c r="B30" s="737" t="s">
        <v>643</v>
      </c>
      <c r="C30" s="737" t="s">
        <v>528</v>
      </c>
      <c r="D30" s="733" t="str">
        <f>IF(D71="UDEN FOR OMRÅDET","NOT POSSIBLE",(0.000000004262661*B5^4-0.000002203935325*B5^3+0.000349196460344*B5^2+0.003639383225018*B5+0.193846671691572))</f>
        <v>NOT POSSIBLE</v>
      </c>
      <c r="E30" s="734" t="str">
        <f>IF(D71="UDEN FOR OMRÅDET","NOT POSSIBLE",IF($B$5&lt;89,33,((((-0.6666666667*D30^3+9.5*D30^2-22.8333333333*D30+47))))))</f>
        <v>NOT POSSIBLE</v>
      </c>
      <c r="J30" s="338"/>
    </row>
    <row r="31" spans="1:10" x14ac:dyDescent="0.2">
      <c r="A31" s="735" t="s">
        <v>622</v>
      </c>
      <c r="B31" s="736" t="s">
        <v>644</v>
      </c>
      <c r="C31" s="736" t="s">
        <v>530</v>
      </c>
      <c r="D31" s="733" t="str">
        <f>IF(D72="UDEN FOR OMRÅDET","NOT POSSIBLE",(-0.000000006659004*B5^4+0.000004735461176*B5^3-0.001276874830972*B5^2+0.177325762767072*B5-7.83507332221808))</f>
        <v>NOT POSSIBLE</v>
      </c>
      <c r="E31" s="734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731" t="s">
        <v>623</v>
      </c>
      <c r="B32" s="737" t="s">
        <v>645</v>
      </c>
      <c r="C32" s="737" t="s">
        <v>529</v>
      </c>
      <c r="D32" s="733" t="str">
        <f>IF(D73="UDEN FOR OMRÅDET","NOT POSSIBLE",(-0.000000000611426*B5^4+0.000000656353947*B5^3-0.000284996728231*B5^2+0.074287325446848*B5-5.10628086784494))</f>
        <v>NOT POSSIBLE</v>
      </c>
      <c r="E32" s="734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735" t="s">
        <v>624</v>
      </c>
      <c r="B33" s="736" t="s">
        <v>646</v>
      </c>
      <c r="C33" s="736" t="s">
        <v>534</v>
      </c>
      <c r="D33" s="733" t="str">
        <f>IF(D74="UDEN FOR OMRÅDET","NOT POSSIBLE",(-2.52847125E-12*B5^5+4.68657669347E-09*B5^4-3.38486827279208E-06*B5^3+0.00116642754838534*B5^2-0.177120541975483*B5+10.2818610440989))</f>
        <v>NOT POSSIBLE</v>
      </c>
      <c r="E33" s="734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625</v>
      </c>
      <c r="B34" s="343" t="s">
        <v>647</v>
      </c>
      <c r="C34" s="343" t="s">
        <v>521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626</v>
      </c>
      <c r="B35" s="341" t="s">
        <v>646</v>
      </c>
      <c r="C35" s="341" t="s">
        <v>534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627</v>
      </c>
      <c r="B36" s="345" t="s">
        <v>647</v>
      </c>
      <c r="C36" s="345" t="s">
        <v>521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t="13.5" hidden="1" thickBot="1" x14ac:dyDescent="0.25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571</v>
      </c>
    </row>
    <row r="51" spans="1:4" ht="13.5" hidden="1" thickBot="1" x14ac:dyDescent="0.25">
      <c r="A51" s="441" t="s">
        <v>603</v>
      </c>
      <c r="B51" s="424">
        <v>1.4</v>
      </c>
      <c r="C51" s="424">
        <v>11.5</v>
      </c>
      <c r="D51" s="359" t="str">
        <f t="shared" ref="D51:D77" si="0">IF($B$5&lt;=B51-0.001,"UDEN FOR OMRÅDET",IF($B$5&gt;=C51+0.1,"UDEN FOR OMRÅDET",$B$5))</f>
        <v>UDEN FOR OMRÅDET</v>
      </c>
    </row>
    <row r="52" spans="1:4" hidden="1" x14ac:dyDescent="0.2">
      <c r="A52" s="353" t="s">
        <v>602</v>
      </c>
      <c r="B52" s="357">
        <v>2.5</v>
      </c>
      <c r="C52" s="358">
        <v>15</v>
      </c>
      <c r="D52" s="359" t="str">
        <f t="shared" si="0"/>
        <v>UDEN FOR OMRÅDET</v>
      </c>
    </row>
    <row r="53" spans="1:4" ht="13.5" hidden="1" thickBot="1" x14ac:dyDescent="0.25">
      <c r="A53" s="360" t="s">
        <v>601</v>
      </c>
      <c r="B53" s="357">
        <v>3.9</v>
      </c>
      <c r="C53" s="358">
        <v>24</v>
      </c>
      <c r="D53" s="359">
        <f t="shared" si="0"/>
        <v>20</v>
      </c>
    </row>
    <row r="54" spans="1:4" hidden="1" x14ac:dyDescent="0.2">
      <c r="A54" s="353" t="s">
        <v>604</v>
      </c>
      <c r="B54" s="357">
        <v>3</v>
      </c>
      <c r="C54" s="358">
        <v>16</v>
      </c>
      <c r="D54" s="359" t="str">
        <f t="shared" si="0"/>
        <v>UDEN FOR OMRÅDET</v>
      </c>
    </row>
    <row r="55" spans="1:4" hidden="1" x14ac:dyDescent="0.2">
      <c r="A55" s="360" t="s">
        <v>605</v>
      </c>
      <c r="B55" s="357">
        <v>4.2</v>
      </c>
      <c r="C55" s="358">
        <v>24</v>
      </c>
      <c r="D55" s="359">
        <f t="shared" si="0"/>
        <v>20</v>
      </c>
    </row>
    <row r="56" spans="1:4" hidden="1" x14ac:dyDescent="0.2">
      <c r="A56" s="361" t="s">
        <v>608</v>
      </c>
      <c r="B56" s="357">
        <v>4.4000000000000004</v>
      </c>
      <c r="C56" s="358">
        <v>25</v>
      </c>
      <c r="D56" s="359">
        <f t="shared" si="0"/>
        <v>20</v>
      </c>
    </row>
    <row r="57" spans="1:4" ht="13.5" hidden="1" thickBot="1" x14ac:dyDescent="0.25">
      <c r="A57" s="360" t="s">
        <v>609</v>
      </c>
      <c r="B57" s="357">
        <v>6</v>
      </c>
      <c r="C57" s="358">
        <v>35</v>
      </c>
      <c r="D57" s="359">
        <f t="shared" si="0"/>
        <v>20</v>
      </c>
    </row>
    <row r="58" spans="1:4" hidden="1" x14ac:dyDescent="0.2">
      <c r="A58" s="353" t="s">
        <v>606</v>
      </c>
      <c r="B58" s="357">
        <v>4.4000000000000004</v>
      </c>
      <c r="C58" s="358">
        <v>25</v>
      </c>
      <c r="D58" s="359">
        <f t="shared" si="0"/>
        <v>20</v>
      </c>
    </row>
    <row r="59" spans="1:4" hidden="1" x14ac:dyDescent="0.2">
      <c r="A59" s="360" t="s">
        <v>607</v>
      </c>
      <c r="B59" s="357">
        <v>6</v>
      </c>
      <c r="C59" s="358">
        <v>35</v>
      </c>
      <c r="D59" s="359">
        <f t="shared" si="0"/>
        <v>20</v>
      </c>
    </row>
    <row r="60" spans="1:4" hidden="1" x14ac:dyDescent="0.2">
      <c r="A60" s="361" t="s">
        <v>610</v>
      </c>
      <c r="B60" s="357">
        <v>5.3</v>
      </c>
      <c r="C60" s="358">
        <v>34</v>
      </c>
      <c r="D60" s="359">
        <f t="shared" si="0"/>
        <v>20</v>
      </c>
    </row>
    <row r="61" spans="1:4" ht="13.5" hidden="1" thickBot="1" x14ac:dyDescent="0.25">
      <c r="A61" s="360" t="s">
        <v>611</v>
      </c>
      <c r="B61" s="357">
        <v>7</v>
      </c>
      <c r="C61" s="358">
        <v>43</v>
      </c>
      <c r="D61" s="359">
        <f t="shared" si="0"/>
        <v>20</v>
      </c>
    </row>
    <row r="62" spans="1:4" hidden="1" x14ac:dyDescent="0.2">
      <c r="A62" s="353" t="s">
        <v>612</v>
      </c>
      <c r="B62" s="357">
        <v>5.3</v>
      </c>
      <c r="C62" s="358">
        <v>34</v>
      </c>
      <c r="D62" s="359">
        <f t="shared" si="0"/>
        <v>20</v>
      </c>
    </row>
    <row r="63" spans="1:4" hidden="1" x14ac:dyDescent="0.2">
      <c r="A63" s="360" t="s">
        <v>613</v>
      </c>
      <c r="B63" s="357">
        <v>7</v>
      </c>
      <c r="C63" s="358">
        <v>43</v>
      </c>
      <c r="D63" s="359">
        <f t="shared" si="0"/>
        <v>20</v>
      </c>
    </row>
    <row r="64" spans="1:4" hidden="1" x14ac:dyDescent="0.2">
      <c r="A64" s="361" t="s">
        <v>614</v>
      </c>
      <c r="B64" s="357">
        <v>12.1</v>
      </c>
      <c r="C64" s="358">
        <v>68</v>
      </c>
      <c r="D64" s="359">
        <f t="shared" si="0"/>
        <v>20</v>
      </c>
    </row>
    <row r="65" spans="1:4" ht="13.5" hidden="1" thickBot="1" x14ac:dyDescent="0.25">
      <c r="A65" s="360" t="s">
        <v>615</v>
      </c>
      <c r="B65" s="357">
        <v>14.8</v>
      </c>
      <c r="C65" s="358">
        <v>90</v>
      </c>
      <c r="D65" s="359">
        <f t="shared" si="0"/>
        <v>20</v>
      </c>
    </row>
    <row r="66" spans="1:4" hidden="1" x14ac:dyDescent="0.2">
      <c r="A66" s="353" t="s">
        <v>616</v>
      </c>
      <c r="B66" s="357">
        <v>12.1</v>
      </c>
      <c r="C66" s="358">
        <v>68</v>
      </c>
      <c r="D66" s="359">
        <f t="shared" si="0"/>
        <v>20</v>
      </c>
    </row>
    <row r="67" spans="1:4" hidden="1" x14ac:dyDescent="0.2">
      <c r="A67" s="360" t="s">
        <v>617</v>
      </c>
      <c r="B67" s="357">
        <v>14.8</v>
      </c>
      <c r="C67" s="358">
        <v>90</v>
      </c>
      <c r="D67" s="359">
        <f t="shared" si="0"/>
        <v>20</v>
      </c>
    </row>
    <row r="68" spans="1:4" hidden="1" x14ac:dyDescent="0.2">
      <c r="A68" s="361" t="s">
        <v>618</v>
      </c>
      <c r="B68" s="305">
        <v>18.5</v>
      </c>
      <c r="C68" s="358">
        <v>110</v>
      </c>
      <c r="D68" s="359">
        <f t="shared" si="0"/>
        <v>20</v>
      </c>
    </row>
    <row r="69" spans="1:4" hidden="1" x14ac:dyDescent="0.2">
      <c r="A69" s="360" t="s">
        <v>619</v>
      </c>
      <c r="B69" s="305">
        <v>23</v>
      </c>
      <c r="C69" s="358">
        <v>135</v>
      </c>
      <c r="D69" s="359" t="str">
        <f t="shared" si="0"/>
        <v>UDEN FOR OMRÅDET</v>
      </c>
    </row>
    <row r="70" spans="1:4" hidden="1" x14ac:dyDescent="0.2">
      <c r="A70" s="361" t="s">
        <v>620</v>
      </c>
      <c r="B70" s="305">
        <v>25.6</v>
      </c>
      <c r="C70" s="358">
        <v>148</v>
      </c>
      <c r="D70" s="359" t="str">
        <f t="shared" si="0"/>
        <v>UDEN FOR OMRÅDET</v>
      </c>
    </row>
    <row r="71" spans="1:4" hidden="1" x14ac:dyDescent="0.2">
      <c r="A71" s="360" t="s">
        <v>621</v>
      </c>
      <c r="B71" s="305">
        <v>32</v>
      </c>
      <c r="C71" s="358">
        <v>195</v>
      </c>
      <c r="D71" s="359" t="str">
        <f t="shared" si="0"/>
        <v>UDEN FOR OMRÅDET</v>
      </c>
    </row>
    <row r="72" spans="1:4" hidden="1" x14ac:dyDescent="0.2">
      <c r="A72" s="361" t="s">
        <v>622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623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624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625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626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627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  <row r="79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82"/>
  <sheetViews>
    <sheetView zoomScaleNormal="100" workbookViewId="0">
      <selection activeCell="O12" sqref="O12"/>
    </sheetView>
  </sheetViews>
  <sheetFormatPr defaultRowHeight="12.75" x14ac:dyDescent="0.2"/>
  <cols>
    <col min="1" max="9" width="16.7109375" customWidth="1"/>
  </cols>
  <sheetData>
    <row r="1" spans="1:9" ht="20.25" x14ac:dyDescent="0.3">
      <c r="A1" s="769" t="s">
        <v>736</v>
      </c>
      <c r="B1" s="770"/>
      <c r="C1" s="770"/>
      <c r="D1" s="770"/>
      <c r="E1" s="770"/>
      <c r="F1" s="770"/>
      <c r="G1" s="770"/>
      <c r="H1" s="770"/>
      <c r="I1" s="771"/>
    </row>
    <row r="2" spans="1:9" ht="21" thickBot="1" x14ac:dyDescent="0.35">
      <c r="A2" s="772" t="s">
        <v>729</v>
      </c>
      <c r="B2" s="773"/>
      <c r="C2" s="773"/>
      <c r="D2" s="773"/>
      <c r="E2" s="773"/>
      <c r="F2" s="773"/>
      <c r="G2" s="773"/>
      <c r="H2" s="773"/>
      <c r="I2" s="774"/>
    </row>
    <row r="3" spans="1:9" ht="13.5" thickTop="1" x14ac:dyDescent="0.2">
      <c r="A3" s="656"/>
      <c r="B3" s="506"/>
      <c r="C3" s="506"/>
      <c r="D3" s="447"/>
      <c r="E3" s="447"/>
      <c r="F3" s="447"/>
      <c r="G3" s="447"/>
      <c r="H3" s="447"/>
      <c r="I3" s="655"/>
    </row>
    <row r="4" spans="1:9" x14ac:dyDescent="0.2">
      <c r="A4" s="654"/>
      <c r="B4" s="505" t="s">
        <v>23</v>
      </c>
      <c r="C4" s="447"/>
      <c r="D4" s="506"/>
      <c r="E4" s="447"/>
      <c r="F4" s="447"/>
      <c r="G4" s="447"/>
      <c r="H4" s="447"/>
      <c r="I4" s="655"/>
    </row>
    <row r="5" spans="1:9" x14ac:dyDescent="0.2">
      <c r="A5" s="656" t="s">
        <v>459</v>
      </c>
      <c r="B5" s="31">
        <v>30</v>
      </c>
      <c r="C5" s="24" t="s">
        <v>316</v>
      </c>
      <c r="D5" s="506"/>
      <c r="E5" s="447"/>
      <c r="F5" s="447"/>
      <c r="G5" s="447"/>
      <c r="H5" s="447"/>
      <c r="I5" s="655"/>
    </row>
    <row r="6" spans="1:9" ht="13.5" thickBot="1" x14ac:dyDescent="0.25">
      <c r="A6" s="656" t="s">
        <v>460</v>
      </c>
      <c r="B6" s="31">
        <v>830</v>
      </c>
      <c r="C6" s="24" t="s">
        <v>316</v>
      </c>
      <c r="D6" s="447"/>
      <c r="E6" s="447"/>
      <c r="F6" s="447"/>
      <c r="G6" s="447"/>
      <c r="H6" s="447"/>
      <c r="I6" s="655"/>
    </row>
    <row r="7" spans="1:9" ht="14.25" thickTop="1" thickBot="1" x14ac:dyDescent="0.25">
      <c r="A7" s="654"/>
      <c r="B7" s="447"/>
      <c r="C7" s="447"/>
      <c r="D7" s="744" t="s">
        <v>564</v>
      </c>
      <c r="E7" s="743"/>
      <c r="F7" s="744" t="s">
        <v>572</v>
      </c>
      <c r="G7" s="787"/>
      <c r="H7" s="744" t="s">
        <v>745</v>
      </c>
      <c r="I7" s="768"/>
    </row>
    <row r="8" spans="1:9" x14ac:dyDescent="0.2">
      <c r="A8" s="795" t="s">
        <v>22</v>
      </c>
      <c r="B8" s="751" t="s">
        <v>49</v>
      </c>
      <c r="C8" s="752"/>
      <c r="D8" s="642" t="s">
        <v>562</v>
      </c>
      <c r="E8" s="657" t="s">
        <v>563</v>
      </c>
      <c r="F8" s="658" t="s">
        <v>562</v>
      </c>
      <c r="G8" s="659" t="s">
        <v>563</v>
      </c>
      <c r="H8" s="658" t="s">
        <v>562</v>
      </c>
      <c r="I8" s="646" t="s">
        <v>563</v>
      </c>
    </row>
    <row r="9" spans="1:9" x14ac:dyDescent="0.2">
      <c r="A9" s="796"/>
      <c r="B9" s="645" t="s">
        <v>461</v>
      </c>
      <c r="C9" s="646" t="s">
        <v>50</v>
      </c>
      <c r="D9" s="643" t="s">
        <v>565</v>
      </c>
      <c r="E9" s="660" t="s">
        <v>565</v>
      </c>
      <c r="F9" s="661" t="s">
        <v>61</v>
      </c>
      <c r="G9" s="662" t="s">
        <v>61</v>
      </c>
      <c r="H9" s="661" t="s">
        <v>746</v>
      </c>
      <c r="I9" s="663" t="s">
        <v>746</v>
      </c>
    </row>
    <row r="10" spans="1:9" x14ac:dyDescent="0.2">
      <c r="A10" s="647" t="s">
        <v>481</v>
      </c>
      <c r="B10" s="645" t="s">
        <v>738</v>
      </c>
      <c r="C10" s="646" t="s">
        <v>560</v>
      </c>
      <c r="D10" s="644">
        <f>IF(D34="UDEN FOR OMRÅDET","NOT POSSIBLE",VLOOKUP($J$34,A39:D57,4))</f>
        <v>0.5</v>
      </c>
      <c r="E10" s="660">
        <f>IF(E34="UDEN FOR OMRÅDET","NOT POSSIBLE",VLOOKUP($J$35,A39:D57,4))</f>
        <v>4</v>
      </c>
      <c r="F10" s="664">
        <f>IF(D34="UDEN FOR OMRÅDET","NOT POSSIBLE",VLOOKUP($J$34,A39:E57,5))</f>
        <v>4</v>
      </c>
      <c r="G10" s="665">
        <f>IF(E34="UDEN FOR OMRÅDET","NOT POSSIBLE",VLOOKUP($J$35,A39:E57,5))</f>
        <v>19</v>
      </c>
      <c r="H10" s="664">
        <f>IF(D34="UDEN FOR OMRÅDET","NOT POSSIBLE",VLOOKUP($J$34,A39:H57,8))</f>
        <v>10</v>
      </c>
      <c r="I10" s="666">
        <f>IF(E34="UDEN FOR OMRÅDET","NOT POSSIBLE",VLOOKUP($J$35,A39:H57,8))</f>
        <v>26</v>
      </c>
    </row>
    <row r="11" spans="1:9" x14ac:dyDescent="0.2">
      <c r="A11" s="648" t="s">
        <v>557</v>
      </c>
      <c r="B11" s="649" t="s">
        <v>558</v>
      </c>
      <c r="C11" s="650" t="s">
        <v>561</v>
      </c>
      <c r="D11" s="644" t="str">
        <f>IF(D35="UDEN FOR OMRÅDET","NOT POSSIBLE",VLOOKUP($K$34,B42:D57,3))</f>
        <v>NOT POSSIBLE</v>
      </c>
      <c r="E11" s="660">
        <f>IF(E35="UDEN FOR OMRÅDET","NOT POSSIBLE",VLOOKUP($K$35,B42:D57,3))</f>
        <v>2.8</v>
      </c>
      <c r="F11" s="664" t="str">
        <f>IF(D35="UDEN FOR OMRÅDET","NOT POSSIBLE",VLOOKUP($K$34,B42:F57,5))</f>
        <v>NOT POSSIBLE</v>
      </c>
      <c r="G11" s="665">
        <f>IF(E35="UDEN FOR OMRÅDET","NOT POSSIBLE",VLOOKUP($K$35,B42:F57,5))</f>
        <v>18</v>
      </c>
      <c r="H11" s="664" t="str">
        <f>IF(D35="UDEN FOR OMRÅDET","NOT POSSIBLE",VLOOKUP($K$34,B42:I57,8))</f>
        <v>NOT POSSIBLE</v>
      </c>
      <c r="I11" s="666">
        <f>IF(E35="UDEN FOR OMRÅDET","NOT POSSIBLE",VLOOKUP($K$35,B42:I57,8))</f>
        <v>25</v>
      </c>
    </row>
    <row r="12" spans="1:9" ht="13.5" thickBot="1" x14ac:dyDescent="0.25">
      <c r="A12" s="651" t="s">
        <v>38</v>
      </c>
      <c r="B12" s="652" t="s">
        <v>559</v>
      </c>
      <c r="C12" s="653" t="s">
        <v>68</v>
      </c>
      <c r="D12" s="644" t="str">
        <f>IF(D36="UDEN FOR OMRÅDET","NOT POSSIBLE",VLOOKUP($L$34,C42:D57,2))</f>
        <v>NOT POSSIBLE</v>
      </c>
      <c r="E12" s="619">
        <f>IF(E36="UDEN FOR OMRÅDET","NOT POSSIBLE",VLOOKUP($L$35,C42:D57,2))</f>
        <v>1.6</v>
      </c>
      <c r="F12" s="621" t="str">
        <f>IF(D36="UDEN FOR OMRÅDET","NOT POSSIBLE",VLOOKUP($L$34,C42:G57,5))</f>
        <v>NOT POSSIBLE</v>
      </c>
      <c r="G12" s="667">
        <f>IF(E36="UDEN FOR OMRÅDET","NOT POSSIBLE",VLOOKUP($L$35,C42:G57,5))</f>
        <v>18</v>
      </c>
      <c r="H12" s="621" t="str">
        <f>IF(D36="UDEN FOR OMRÅDET","NOT POSSIBLE",VLOOKUP($L$34,C42:J57,8))</f>
        <v>NOT POSSIBLE</v>
      </c>
      <c r="I12" s="668">
        <f>IF(E36="UDEN FOR OMRÅDET","NOT POSSIBLE",VLOOKUP($L$35,C42:J57,8))</f>
        <v>19</v>
      </c>
    </row>
    <row r="13" spans="1:9" ht="13.5" thickTop="1" x14ac:dyDescent="0.2">
      <c r="D13" s="783" t="s">
        <v>567</v>
      </c>
      <c r="E13" s="784"/>
      <c r="F13" s="506"/>
      <c r="G13" s="447"/>
      <c r="H13" s="447"/>
      <c r="I13" s="655"/>
    </row>
    <row r="14" spans="1:9" ht="13.5" thickBot="1" x14ac:dyDescent="0.25">
      <c r="D14" s="785" t="s">
        <v>566</v>
      </c>
      <c r="E14" s="786"/>
      <c r="F14" s="506"/>
      <c r="G14" s="447"/>
      <c r="H14" s="447"/>
      <c r="I14" s="655"/>
    </row>
    <row r="15" spans="1:9" ht="14.25" thickTop="1" thickBot="1" x14ac:dyDescent="0.25">
      <c r="A15" s="654"/>
      <c r="B15" s="506"/>
      <c r="C15" s="447"/>
      <c r="D15" s="447"/>
      <c r="E15" s="447"/>
      <c r="F15" s="447"/>
      <c r="G15" s="447"/>
      <c r="H15" s="447"/>
      <c r="I15" s="655"/>
    </row>
    <row r="16" spans="1:9" ht="14.25" thickTop="1" thickBot="1" x14ac:dyDescent="0.25">
      <c r="A16" s="106"/>
      <c r="B16" s="790" t="s">
        <v>570</v>
      </c>
      <c r="C16" s="791"/>
      <c r="D16" s="791"/>
      <c r="E16" s="792"/>
      <c r="F16" s="447"/>
      <c r="G16" s="447"/>
      <c r="H16" s="447"/>
      <c r="I16" s="655"/>
    </row>
    <row r="17" spans="1:12" ht="13.5" thickTop="1" x14ac:dyDescent="0.2">
      <c r="A17" s="793" t="s">
        <v>22</v>
      </c>
      <c r="B17" s="788" t="s">
        <v>562</v>
      </c>
      <c r="C17" s="789"/>
      <c r="D17" s="788" t="s">
        <v>563</v>
      </c>
      <c r="E17" s="789"/>
      <c r="F17" s="447"/>
      <c r="G17" s="447"/>
      <c r="H17" s="447"/>
      <c r="I17" s="655"/>
    </row>
    <row r="18" spans="1:12" ht="25.5" x14ac:dyDescent="0.2">
      <c r="A18" s="794"/>
      <c r="B18" s="669" t="s">
        <v>568</v>
      </c>
      <c r="C18" s="670" t="s">
        <v>569</v>
      </c>
      <c r="D18" s="669" t="s">
        <v>568</v>
      </c>
      <c r="E18" s="670" t="s">
        <v>569</v>
      </c>
      <c r="F18" s="447"/>
      <c r="G18" s="447"/>
      <c r="H18" s="447"/>
      <c r="I18" s="655"/>
    </row>
    <row r="19" spans="1:12" x14ac:dyDescent="0.2">
      <c r="A19" s="671" t="s">
        <v>481</v>
      </c>
      <c r="B19" s="672">
        <f>IF(D34="UDEN FOR OMRÅDET","NOT POSSIBLE",(VLOOKUP($J$34,A62:E80,5)))</f>
        <v>3.9</v>
      </c>
      <c r="C19" s="660">
        <f>IF(D34="UDEN FOR OMRÅDET","NOT POSSIBLE",(VLOOKUP($J$34,A62:G80,7)))</f>
        <v>10.199999999999999</v>
      </c>
      <c r="D19" s="672">
        <f>IF(E34="UDEN FOR OMRÅDET","NOT POSSIBLE",(VLOOKUP($J$35,A62:D80,4)))</f>
        <v>10</v>
      </c>
      <c r="E19" s="660">
        <f>IF(E34="UDEN FOR OMRÅDET","NOT POSSIBLE",(VLOOKUP($J$35,A62:F80,6)))</f>
        <v>20</v>
      </c>
      <c r="F19" s="447"/>
      <c r="G19" s="447"/>
      <c r="H19" s="447"/>
      <c r="I19" s="655"/>
    </row>
    <row r="20" spans="1:12" x14ac:dyDescent="0.2">
      <c r="A20" s="673" t="s">
        <v>557</v>
      </c>
      <c r="B20" s="672" t="str">
        <f>IF(D35="UDEN FOR OMRÅDET","NOT POSSIBLE",(VLOOKUP($K$34,B65:I80,8)))</f>
        <v>NOT POSSIBLE</v>
      </c>
      <c r="C20" s="660" t="str">
        <f>IF(D35="UDEN FOR OMRÅDET","NOT POSSIBLE",(VLOOKUP($K$34,B65:K80,10)))</f>
        <v>NOT POSSIBLE</v>
      </c>
      <c r="D20" s="672">
        <f>IF(E35="UDEN FOR OMRÅDET","NOT POSSIBLE",(VLOOKUP($K$35,B65:H80,7)))</f>
        <v>8.6999999999999993</v>
      </c>
      <c r="E20" s="660">
        <f>IF(E35="UDEN FOR OMRÅDET","NOT POSSIBLE",(VLOOKUP($K$35,B65:J80,9)))</f>
        <v>17.899999999999999</v>
      </c>
      <c r="F20" s="447"/>
      <c r="G20" s="447"/>
      <c r="H20" s="447"/>
      <c r="I20" s="655"/>
    </row>
    <row r="21" spans="1:12" ht="13.5" thickBot="1" x14ac:dyDescent="0.25">
      <c r="A21" s="674" t="s">
        <v>38</v>
      </c>
      <c r="B21" s="620" t="str">
        <f>IF(D36="UDEN FOR OMRÅDET","NOT POSSIBLE",(VLOOKUP($L$34,C65:M80,11)))</f>
        <v>NOT POSSIBLE</v>
      </c>
      <c r="C21" s="619" t="str">
        <f>IF(D36="UDEN FOR OMRÅDET","NOT POSSIBLE",(VLOOKUP($L$34,C65:O80,13)))</f>
        <v>NOT POSSIBLE</v>
      </c>
      <c r="D21" s="620">
        <f>IF(E36="UDEN FOR OMRÅDET","NOT POSSIBLE",(VLOOKUP($L$35,C65:L80,10)))</f>
        <v>7.3</v>
      </c>
      <c r="E21" s="619">
        <f>IF(E36="UDEN FOR OMRÅDET","NOT POSSIBLE",(VLOOKUP($L$35,C65:N80,12)))</f>
        <v>15.7</v>
      </c>
      <c r="F21" s="447"/>
      <c r="G21" s="447"/>
      <c r="H21" s="447"/>
      <c r="I21" s="655"/>
    </row>
    <row r="22" spans="1:12" ht="13.5" thickTop="1" x14ac:dyDescent="0.2">
      <c r="A22" s="654"/>
      <c r="B22" s="447"/>
      <c r="C22" s="447"/>
      <c r="D22" s="447"/>
      <c r="E22" s="447"/>
      <c r="F22" s="447"/>
      <c r="G22" s="447"/>
      <c r="H22" s="447"/>
      <c r="I22" s="655"/>
    </row>
    <row r="23" spans="1:12" x14ac:dyDescent="0.2">
      <c r="A23" s="654"/>
      <c r="B23" s="447"/>
      <c r="C23" s="447"/>
      <c r="D23" s="447"/>
      <c r="E23" s="447"/>
      <c r="F23" s="447"/>
      <c r="G23" s="447"/>
      <c r="H23" s="447"/>
      <c r="I23" s="655"/>
    </row>
    <row r="24" spans="1:12" x14ac:dyDescent="0.2">
      <c r="A24" s="654"/>
      <c r="B24" s="447"/>
      <c r="C24" s="447"/>
      <c r="D24" s="447"/>
      <c r="E24" s="447"/>
      <c r="F24" s="447"/>
      <c r="G24" s="447"/>
      <c r="H24" s="447"/>
      <c r="I24" s="655"/>
    </row>
    <row r="25" spans="1:12" x14ac:dyDescent="0.2">
      <c r="A25" s="654"/>
      <c r="B25" s="447"/>
      <c r="C25" s="447"/>
      <c r="D25" s="447"/>
      <c r="E25" s="447"/>
      <c r="F25" s="447"/>
      <c r="G25" s="447"/>
      <c r="H25" s="447"/>
      <c r="I25" s="655"/>
    </row>
    <row r="26" spans="1:12" x14ac:dyDescent="0.2">
      <c r="A26" s="654"/>
      <c r="B26" s="447"/>
      <c r="C26" s="447"/>
      <c r="D26" s="447"/>
      <c r="E26" s="447"/>
      <c r="F26" s="447"/>
      <c r="G26" s="447"/>
      <c r="H26" s="447"/>
      <c r="I26" s="655"/>
    </row>
    <row r="27" spans="1:12" x14ac:dyDescent="0.2">
      <c r="A27" s="654"/>
      <c r="B27" s="447"/>
      <c r="C27" s="447"/>
      <c r="D27" s="447"/>
      <c r="E27" s="447"/>
      <c r="F27" s="447"/>
      <c r="G27" s="447"/>
      <c r="H27" s="447"/>
      <c r="I27" s="655"/>
    </row>
    <row r="28" spans="1:12" x14ac:dyDescent="0.2">
      <c r="A28" s="654"/>
      <c r="B28" s="447"/>
      <c r="C28" s="447"/>
      <c r="D28" s="447"/>
      <c r="E28" s="447"/>
      <c r="F28" s="447"/>
      <c r="G28" s="447"/>
      <c r="H28" s="447"/>
      <c r="I28" s="655"/>
    </row>
    <row r="29" spans="1:12" x14ac:dyDescent="0.2">
      <c r="A29" s="654"/>
      <c r="B29" s="447"/>
      <c r="C29" s="447"/>
      <c r="D29" s="447"/>
      <c r="E29" s="601"/>
      <c r="F29" s="447"/>
      <c r="G29" s="447"/>
      <c r="H29" s="447"/>
      <c r="I29" s="655"/>
    </row>
    <row r="30" spans="1:12" ht="13.5" thickBot="1" x14ac:dyDescent="0.25">
      <c r="A30" s="675" t="s">
        <v>102</v>
      </c>
      <c r="B30" s="676"/>
      <c r="C30" s="676"/>
      <c r="D30" s="676"/>
      <c r="E30" s="676"/>
      <c r="F30" s="676"/>
      <c r="G30" s="676"/>
      <c r="H30" s="676"/>
      <c r="I30" s="677"/>
    </row>
    <row r="32" spans="1:12" ht="14.25" hidden="1" thickTop="1" thickBot="1" x14ac:dyDescent="0.25">
      <c r="D32" s="427" t="s">
        <v>739</v>
      </c>
      <c r="E32" s="427" t="s">
        <v>740</v>
      </c>
      <c r="F32" s="9" t="s">
        <v>741</v>
      </c>
      <c r="G32" s="12" t="s">
        <v>742</v>
      </c>
      <c r="I32" s="765" t="s">
        <v>750</v>
      </c>
      <c r="J32" s="766"/>
      <c r="K32" s="766"/>
      <c r="L32" s="767"/>
    </row>
    <row r="33" spans="1:12" ht="13.5" hidden="1" thickTop="1" x14ac:dyDescent="0.2">
      <c r="A33" s="9" t="s">
        <v>0</v>
      </c>
      <c r="B33" s="10" t="s">
        <v>4</v>
      </c>
      <c r="C33" s="10" t="s">
        <v>5</v>
      </c>
      <c r="D33" s="11" t="s">
        <v>571</v>
      </c>
      <c r="E33" s="12" t="s">
        <v>571</v>
      </c>
      <c r="F33" s="431">
        <f>-10*D10-5</f>
        <v>-10</v>
      </c>
      <c r="G33" s="432">
        <f t="shared" ref="F33:G35" si="0">-10*E10-5</f>
        <v>-45</v>
      </c>
      <c r="I33" s="682"/>
      <c r="J33" s="683" t="s">
        <v>481</v>
      </c>
      <c r="K33" s="683" t="s">
        <v>557</v>
      </c>
      <c r="L33" s="684" t="s">
        <v>38</v>
      </c>
    </row>
    <row r="34" spans="1:12" hidden="1" x14ac:dyDescent="0.2">
      <c r="A34" s="425" t="s">
        <v>481</v>
      </c>
      <c r="B34" s="36">
        <v>30</v>
      </c>
      <c r="C34" s="1">
        <v>830</v>
      </c>
      <c r="D34" s="428">
        <f>IF($B$5&lt;=B34-1,"UDEN FOR OMRÅDET",IF($B$5&gt;=C34+1,"UDEN FOR OMRÅDET",$B$5))</f>
        <v>30</v>
      </c>
      <c r="E34" s="429">
        <f>IF($B$6&lt;=B34-1,"UDEN FOR OMRÅDET",IF($B$6&gt;=C34+1,"UDEN FOR OMRÅDET",$B$6))</f>
        <v>830</v>
      </c>
      <c r="F34" s="431" t="e">
        <f t="shared" si="0"/>
        <v>#VALUE!</v>
      </c>
      <c r="G34" s="432">
        <f t="shared" si="0"/>
        <v>-33</v>
      </c>
      <c r="I34" s="682" t="s">
        <v>562</v>
      </c>
      <c r="J34" s="678" cm="1">
        <f t="array" ref="J34">INDEX(A39:A57,MATCH(MIN(ABS(A39:A57-B5)),ABS(A39:A57-B5),0))</f>
        <v>30</v>
      </c>
      <c r="K34" s="678" cm="1">
        <f t="array" ref="K34">INDEX(B42:B57,MATCH(MIN(ABS(B42:B57-B5)),ABS(B42:B57-B5),0))</f>
        <v>210</v>
      </c>
      <c r="L34" s="679" cm="1">
        <f t="array" ref="L34">INDEX(C42:C57,MATCH(MIN(ABS(C42:C57-B5)),ABS(C42:C57-B5),0))</f>
        <v>460</v>
      </c>
    </row>
    <row r="35" spans="1:12" ht="13.5" hidden="1" thickBot="1" x14ac:dyDescent="0.25">
      <c r="A35" s="425" t="s">
        <v>557</v>
      </c>
      <c r="B35" s="2">
        <v>210</v>
      </c>
      <c r="C35" s="2">
        <v>1200</v>
      </c>
      <c r="D35" s="428" t="str">
        <f>IF($B$5&lt;=B35-1,"UDEN FOR OMRÅDET",IF($B$5&gt;=C35+1,"UDEN FOR OMRÅDET",$B$5))</f>
        <v>UDEN FOR OMRÅDET</v>
      </c>
      <c r="E35" s="429">
        <f t="shared" ref="E35:E36" si="1">IF($B$6&lt;=B35-1,"UDEN FOR OMRÅDET",IF($B$6&gt;=C35+1,"UDEN FOR OMRÅDET",$B$5))</f>
        <v>30</v>
      </c>
      <c r="F35" s="433" t="e">
        <f t="shared" si="0"/>
        <v>#VALUE!</v>
      </c>
      <c r="G35" s="434">
        <f t="shared" si="0"/>
        <v>-21</v>
      </c>
      <c r="I35" s="685" t="s">
        <v>563</v>
      </c>
      <c r="J35" s="680" cm="1">
        <f t="array" ref="J35">INDEX(A62:A80,MATCH(MIN(ABS(A62:A80-B6)),ABS(A62:A80-B6),0))</f>
        <v>830</v>
      </c>
      <c r="K35" s="680" cm="1">
        <f t="array" ref="K35">INDEX(B65:B80,MATCH(MIN(ABS(B65:B80-B6)),ABS(B65:B80-B6),0))</f>
        <v>810</v>
      </c>
      <c r="L35" s="681" cm="1">
        <f t="array" ref="L35">INDEX(C65:C80,MATCH(MIN(ABS(C65:C80-B6)),ABS(C65:C80-B6),0))</f>
        <v>910</v>
      </c>
    </row>
    <row r="36" spans="1:12" ht="14.25" hidden="1" thickTop="1" thickBot="1" x14ac:dyDescent="0.25">
      <c r="A36" s="426" t="s">
        <v>38</v>
      </c>
      <c r="B36" s="16">
        <v>460</v>
      </c>
      <c r="C36" s="16">
        <v>4250</v>
      </c>
      <c r="D36" s="430" t="str">
        <f>IF($B$5&lt;=B36-1,"UDEN FOR OMRÅDET",IF($B$5&gt;=C36+1,"UDEN FOR OMRÅDET",$B$5))</f>
        <v>UDEN FOR OMRÅDET</v>
      </c>
      <c r="E36" s="615">
        <f t="shared" si="1"/>
        <v>30</v>
      </c>
    </row>
    <row r="37" spans="1:12" ht="13.5" hidden="1" thickTop="1" x14ac:dyDescent="0.2">
      <c r="A37" s="753" t="s">
        <v>317</v>
      </c>
      <c r="B37" s="754"/>
      <c r="C37" s="754"/>
      <c r="D37" s="781" t="s">
        <v>678</v>
      </c>
      <c r="E37" s="758" t="s">
        <v>743</v>
      </c>
      <c r="F37" s="754"/>
      <c r="G37" s="759"/>
      <c r="H37" s="758" t="s">
        <v>744</v>
      </c>
      <c r="I37" s="754"/>
      <c r="J37" s="759"/>
    </row>
    <row r="38" spans="1:12" hidden="1" x14ac:dyDescent="0.2">
      <c r="A38" s="609" t="s">
        <v>481</v>
      </c>
      <c r="B38" s="610" t="s">
        <v>557</v>
      </c>
      <c r="C38" s="610" t="s">
        <v>38</v>
      </c>
      <c r="D38" s="782"/>
      <c r="E38" s="609" t="s">
        <v>481</v>
      </c>
      <c r="F38" s="610" t="s">
        <v>557</v>
      </c>
      <c r="G38" s="613" t="s">
        <v>38</v>
      </c>
      <c r="H38" s="609" t="s">
        <v>481</v>
      </c>
      <c r="I38" s="610" t="s">
        <v>557</v>
      </c>
      <c r="J38" s="613" t="s">
        <v>38</v>
      </c>
    </row>
    <row r="39" spans="1:12" hidden="1" x14ac:dyDescent="0.2">
      <c r="A39" s="609">
        <v>30</v>
      </c>
      <c r="B39" s="775"/>
      <c r="C39" s="776"/>
      <c r="D39" s="613">
        <v>0.5</v>
      </c>
      <c r="E39" s="616">
        <v>4</v>
      </c>
      <c r="F39" s="617"/>
      <c r="G39" s="618"/>
      <c r="H39" s="616">
        <v>10</v>
      </c>
      <c r="I39" s="617"/>
      <c r="J39" s="618"/>
    </row>
    <row r="40" spans="1:12" hidden="1" x14ac:dyDescent="0.2">
      <c r="A40" s="609">
        <v>35</v>
      </c>
      <c r="B40" s="777"/>
      <c r="C40" s="778"/>
      <c r="D40" s="613">
        <v>0.6</v>
      </c>
      <c r="E40" s="609">
        <v>4</v>
      </c>
      <c r="F40" s="617"/>
      <c r="G40" s="618"/>
      <c r="H40" s="609">
        <v>10</v>
      </c>
      <c r="I40" s="617"/>
      <c r="J40" s="618"/>
    </row>
    <row r="41" spans="1:12" hidden="1" x14ac:dyDescent="0.2">
      <c r="A41" s="609">
        <v>50</v>
      </c>
      <c r="B41" s="779"/>
      <c r="C41" s="780"/>
      <c r="D41" s="613">
        <v>0.8</v>
      </c>
      <c r="E41" s="609">
        <v>5</v>
      </c>
      <c r="F41" s="617"/>
      <c r="G41" s="618"/>
      <c r="H41" s="609">
        <v>10</v>
      </c>
      <c r="I41" s="617"/>
      <c r="J41" s="618"/>
    </row>
    <row r="42" spans="1:12" hidden="1" x14ac:dyDescent="0.2">
      <c r="A42" s="609">
        <v>65</v>
      </c>
      <c r="B42" s="610">
        <v>210</v>
      </c>
      <c r="C42" s="610">
        <v>460</v>
      </c>
      <c r="D42" s="613">
        <v>1</v>
      </c>
      <c r="E42" s="609">
        <v>8</v>
      </c>
      <c r="F42" s="610">
        <v>15</v>
      </c>
      <c r="G42" s="613">
        <v>17</v>
      </c>
      <c r="H42" s="609">
        <v>10</v>
      </c>
      <c r="I42" s="610">
        <v>15</v>
      </c>
      <c r="J42" s="613">
        <v>17</v>
      </c>
    </row>
    <row r="43" spans="1:12" hidden="1" x14ac:dyDescent="0.2">
      <c r="A43" s="609">
        <v>75</v>
      </c>
      <c r="B43" s="610">
        <v>260</v>
      </c>
      <c r="C43" s="610">
        <v>600</v>
      </c>
      <c r="D43" s="613">
        <v>1.2</v>
      </c>
      <c r="E43" s="609">
        <v>10</v>
      </c>
      <c r="F43" s="610">
        <v>15</v>
      </c>
      <c r="G43" s="613">
        <v>17</v>
      </c>
      <c r="H43" s="609">
        <v>11</v>
      </c>
      <c r="I43" s="610">
        <v>15</v>
      </c>
      <c r="J43" s="613">
        <v>18</v>
      </c>
    </row>
    <row r="44" spans="1:12" hidden="1" x14ac:dyDescent="0.2">
      <c r="A44" s="609">
        <v>85</v>
      </c>
      <c r="B44" s="610">
        <v>320</v>
      </c>
      <c r="C44" s="610">
        <v>740</v>
      </c>
      <c r="D44" s="613">
        <v>1.4</v>
      </c>
      <c r="E44" s="609">
        <v>11</v>
      </c>
      <c r="F44" s="610">
        <v>15</v>
      </c>
      <c r="G44" s="613">
        <v>17</v>
      </c>
      <c r="H44" s="609">
        <v>12</v>
      </c>
      <c r="I44" s="610">
        <v>16</v>
      </c>
      <c r="J44" s="613">
        <v>18</v>
      </c>
    </row>
    <row r="45" spans="1:12" hidden="1" x14ac:dyDescent="0.2">
      <c r="A45" s="609">
        <v>100</v>
      </c>
      <c r="B45" s="610">
        <v>380</v>
      </c>
      <c r="C45" s="610">
        <v>910</v>
      </c>
      <c r="D45" s="613">
        <v>1.6</v>
      </c>
      <c r="E45" s="609">
        <v>11</v>
      </c>
      <c r="F45" s="610">
        <v>15</v>
      </c>
      <c r="G45" s="613">
        <v>18</v>
      </c>
      <c r="H45" s="609">
        <v>12</v>
      </c>
      <c r="I45" s="610">
        <v>16</v>
      </c>
      <c r="J45" s="613">
        <v>19</v>
      </c>
    </row>
    <row r="46" spans="1:12" hidden="1" x14ac:dyDescent="0.2">
      <c r="A46" s="609">
        <v>120</v>
      </c>
      <c r="B46" s="610">
        <v>430</v>
      </c>
      <c r="C46" s="610">
        <v>1110</v>
      </c>
      <c r="D46" s="613">
        <v>1.8</v>
      </c>
      <c r="E46" s="609">
        <v>12</v>
      </c>
      <c r="F46" s="610">
        <v>15</v>
      </c>
      <c r="G46" s="613">
        <v>18</v>
      </c>
      <c r="H46" s="609">
        <v>13</v>
      </c>
      <c r="I46" s="610">
        <v>17</v>
      </c>
      <c r="J46" s="613">
        <v>19</v>
      </c>
    </row>
    <row r="47" spans="1:12" hidden="1" x14ac:dyDescent="0.2">
      <c r="A47" s="609">
        <v>140</v>
      </c>
      <c r="B47" s="610">
        <v>490</v>
      </c>
      <c r="C47" s="610">
        <v>1310</v>
      </c>
      <c r="D47" s="613">
        <v>2</v>
      </c>
      <c r="E47" s="609">
        <v>13</v>
      </c>
      <c r="F47" s="610">
        <v>15</v>
      </c>
      <c r="G47" s="613">
        <v>18</v>
      </c>
      <c r="H47" s="609">
        <v>14</v>
      </c>
      <c r="I47" s="610">
        <v>17</v>
      </c>
      <c r="J47" s="613">
        <v>20</v>
      </c>
    </row>
    <row r="48" spans="1:12" hidden="1" x14ac:dyDescent="0.2">
      <c r="A48" s="609">
        <v>190</v>
      </c>
      <c r="B48" s="610">
        <v>550</v>
      </c>
      <c r="C48" s="610">
        <v>1540</v>
      </c>
      <c r="D48" s="613">
        <v>2.2000000000000002</v>
      </c>
      <c r="E48" s="609">
        <v>14</v>
      </c>
      <c r="F48" s="610">
        <v>16</v>
      </c>
      <c r="G48" s="613">
        <v>19</v>
      </c>
      <c r="H48" s="609">
        <v>15</v>
      </c>
      <c r="I48" s="610">
        <v>19</v>
      </c>
      <c r="J48" s="613">
        <v>22</v>
      </c>
    </row>
    <row r="49" spans="1:15" hidden="1" x14ac:dyDescent="0.2">
      <c r="A49" s="609">
        <v>240</v>
      </c>
      <c r="B49" s="610">
        <v>610</v>
      </c>
      <c r="C49" s="610">
        <v>1760</v>
      </c>
      <c r="D49" s="613">
        <v>2.4</v>
      </c>
      <c r="E49" s="609">
        <v>14</v>
      </c>
      <c r="F49" s="610">
        <v>17</v>
      </c>
      <c r="G49" s="613">
        <v>20</v>
      </c>
      <c r="H49" s="609">
        <v>15</v>
      </c>
      <c r="I49" s="610">
        <v>21</v>
      </c>
      <c r="J49" s="613">
        <v>24</v>
      </c>
    </row>
    <row r="50" spans="1:15" hidden="1" x14ac:dyDescent="0.2">
      <c r="A50" s="609">
        <v>310</v>
      </c>
      <c r="B50" s="610">
        <v>700</v>
      </c>
      <c r="C50" s="610">
        <v>2020</v>
      </c>
      <c r="D50" s="613">
        <v>2.6</v>
      </c>
      <c r="E50" s="609">
        <v>14</v>
      </c>
      <c r="F50" s="610">
        <v>17</v>
      </c>
      <c r="G50" s="613">
        <v>21</v>
      </c>
      <c r="H50" s="609">
        <v>15</v>
      </c>
      <c r="I50" s="610">
        <v>23</v>
      </c>
      <c r="J50" s="613">
        <v>26</v>
      </c>
    </row>
    <row r="51" spans="1:15" hidden="1" x14ac:dyDescent="0.2">
      <c r="A51" s="609">
        <v>380</v>
      </c>
      <c r="B51" s="610">
        <v>810</v>
      </c>
      <c r="C51" s="610">
        <v>2310</v>
      </c>
      <c r="D51" s="613">
        <v>2.8</v>
      </c>
      <c r="E51" s="609">
        <v>14</v>
      </c>
      <c r="F51" s="610">
        <v>18</v>
      </c>
      <c r="G51" s="613">
        <v>22</v>
      </c>
      <c r="H51" s="609">
        <v>16</v>
      </c>
      <c r="I51" s="610">
        <v>25</v>
      </c>
      <c r="J51" s="613">
        <v>28</v>
      </c>
    </row>
    <row r="52" spans="1:15" hidden="1" x14ac:dyDescent="0.2">
      <c r="A52" s="609">
        <v>460</v>
      </c>
      <c r="B52" s="610">
        <v>910</v>
      </c>
      <c r="C52" s="610">
        <v>2600</v>
      </c>
      <c r="D52" s="613">
        <v>3</v>
      </c>
      <c r="E52" s="609">
        <v>15</v>
      </c>
      <c r="F52" s="610">
        <v>19</v>
      </c>
      <c r="G52" s="613">
        <v>23</v>
      </c>
      <c r="H52" s="609">
        <v>18</v>
      </c>
      <c r="I52" s="610">
        <v>27</v>
      </c>
      <c r="J52" s="613">
        <v>30</v>
      </c>
    </row>
    <row r="53" spans="1:15" hidden="1" x14ac:dyDescent="0.2">
      <c r="A53" s="609">
        <v>560</v>
      </c>
      <c r="B53" s="610">
        <v>1000</v>
      </c>
      <c r="C53" s="610">
        <v>3000</v>
      </c>
      <c r="D53" s="613">
        <v>3.2</v>
      </c>
      <c r="E53" s="609">
        <v>15</v>
      </c>
      <c r="F53" s="610">
        <v>20</v>
      </c>
      <c r="G53" s="613">
        <v>26</v>
      </c>
      <c r="H53" s="609">
        <v>19</v>
      </c>
      <c r="I53" s="610">
        <v>29</v>
      </c>
      <c r="J53" s="613">
        <v>35</v>
      </c>
    </row>
    <row r="54" spans="1:15" hidden="1" x14ac:dyDescent="0.2">
      <c r="A54" s="609">
        <v>660</v>
      </c>
      <c r="B54" s="610">
        <v>1090</v>
      </c>
      <c r="C54" s="610">
        <v>3400</v>
      </c>
      <c r="D54" s="613">
        <v>3.4</v>
      </c>
      <c r="E54" s="609">
        <v>16</v>
      </c>
      <c r="F54" s="610">
        <v>21</v>
      </c>
      <c r="G54" s="613">
        <v>29</v>
      </c>
      <c r="H54" s="609">
        <v>21</v>
      </c>
      <c r="I54" s="610">
        <v>31</v>
      </c>
      <c r="J54" s="613">
        <v>40</v>
      </c>
    </row>
    <row r="55" spans="1:15" hidden="1" x14ac:dyDescent="0.2">
      <c r="A55" s="609">
        <v>730</v>
      </c>
      <c r="B55" s="610">
        <v>1150</v>
      </c>
      <c r="C55" s="610">
        <v>3730</v>
      </c>
      <c r="D55" s="613">
        <v>3.6</v>
      </c>
      <c r="E55" s="609">
        <v>17</v>
      </c>
      <c r="F55" s="610">
        <v>21</v>
      </c>
      <c r="G55" s="613">
        <v>32</v>
      </c>
      <c r="H55" s="609">
        <v>23</v>
      </c>
      <c r="I55" s="610">
        <v>32</v>
      </c>
      <c r="J55" s="613">
        <v>46</v>
      </c>
    </row>
    <row r="56" spans="1:15" hidden="1" x14ac:dyDescent="0.2">
      <c r="A56" s="609">
        <v>780</v>
      </c>
      <c r="B56" s="610">
        <v>1170</v>
      </c>
      <c r="C56" s="610">
        <v>3990</v>
      </c>
      <c r="D56" s="613">
        <v>3.8</v>
      </c>
      <c r="E56" s="609">
        <v>18</v>
      </c>
      <c r="F56" s="610">
        <v>22</v>
      </c>
      <c r="G56" s="613">
        <v>35</v>
      </c>
      <c r="H56" s="609">
        <v>25</v>
      </c>
      <c r="I56" s="610">
        <v>34</v>
      </c>
      <c r="J56" s="613">
        <v>51</v>
      </c>
    </row>
    <row r="57" spans="1:15" ht="13.5" hidden="1" thickBot="1" x14ac:dyDescent="0.25">
      <c r="A57" s="611">
        <v>830</v>
      </c>
      <c r="B57" s="612">
        <v>1200</v>
      </c>
      <c r="C57" s="612">
        <v>4250</v>
      </c>
      <c r="D57" s="614">
        <v>4</v>
      </c>
      <c r="E57" s="611">
        <v>19</v>
      </c>
      <c r="F57" s="612">
        <v>23</v>
      </c>
      <c r="G57" s="614">
        <v>38</v>
      </c>
      <c r="H57" s="611">
        <v>26</v>
      </c>
      <c r="I57" s="612">
        <v>36</v>
      </c>
      <c r="J57" s="614">
        <v>56</v>
      </c>
    </row>
    <row r="58" spans="1:15" ht="14.25" hidden="1" thickTop="1" thickBot="1" x14ac:dyDescent="0.25"/>
    <row r="59" spans="1:15" ht="14.25" hidden="1" thickTop="1" thickBot="1" x14ac:dyDescent="0.25">
      <c r="D59" s="753" t="s">
        <v>749</v>
      </c>
      <c r="E59" s="754"/>
      <c r="F59" s="754"/>
      <c r="G59" s="755"/>
      <c r="H59" s="753" t="s">
        <v>557</v>
      </c>
      <c r="I59" s="754"/>
      <c r="J59" s="754"/>
      <c r="K59" s="759"/>
      <c r="L59" s="760" t="s">
        <v>38</v>
      </c>
      <c r="M59" s="754"/>
      <c r="N59" s="754"/>
      <c r="O59" s="759"/>
    </row>
    <row r="60" spans="1:15" ht="13.5" hidden="1" thickTop="1" x14ac:dyDescent="0.2">
      <c r="A60" s="753" t="s">
        <v>317</v>
      </c>
      <c r="B60" s="754"/>
      <c r="C60" s="755"/>
      <c r="D60" s="756" t="s">
        <v>748</v>
      </c>
      <c r="E60" s="757"/>
      <c r="F60" s="762" t="s">
        <v>747</v>
      </c>
      <c r="G60" s="764"/>
      <c r="H60" s="756" t="s">
        <v>748</v>
      </c>
      <c r="I60" s="757"/>
      <c r="J60" s="762" t="s">
        <v>747</v>
      </c>
      <c r="K60" s="763"/>
      <c r="L60" s="761" t="s">
        <v>748</v>
      </c>
      <c r="M60" s="757"/>
      <c r="N60" s="762" t="s">
        <v>747</v>
      </c>
      <c r="O60" s="763"/>
    </row>
    <row r="61" spans="1:15" hidden="1" x14ac:dyDescent="0.2">
      <c r="A61" s="622" t="s">
        <v>481</v>
      </c>
      <c r="B61" s="623" t="s">
        <v>557</v>
      </c>
      <c r="C61" s="626" t="s">
        <v>38</v>
      </c>
      <c r="D61" s="629" t="s">
        <v>563</v>
      </c>
      <c r="E61" s="631" t="s">
        <v>562</v>
      </c>
      <c r="F61" s="630" t="s">
        <v>563</v>
      </c>
      <c r="G61" s="626" t="s">
        <v>562</v>
      </c>
      <c r="H61" s="629" t="s">
        <v>563</v>
      </c>
      <c r="I61" s="631" t="s">
        <v>562</v>
      </c>
      <c r="J61" s="630" t="s">
        <v>563</v>
      </c>
      <c r="K61" s="632" t="s">
        <v>562</v>
      </c>
      <c r="L61" s="638" t="s">
        <v>563</v>
      </c>
      <c r="M61" s="631" t="s">
        <v>562</v>
      </c>
      <c r="N61" s="630" t="s">
        <v>563</v>
      </c>
      <c r="O61" s="632" t="s">
        <v>562</v>
      </c>
    </row>
    <row r="62" spans="1:15" hidden="1" x14ac:dyDescent="0.2">
      <c r="A62" s="622">
        <v>30</v>
      </c>
      <c r="B62" s="625"/>
      <c r="C62" s="627"/>
      <c r="D62" s="633">
        <v>6.1</v>
      </c>
      <c r="E62" s="631">
        <v>3.9</v>
      </c>
      <c r="F62" s="631">
        <v>13.8</v>
      </c>
      <c r="G62" s="626">
        <v>10.199999999999999</v>
      </c>
      <c r="H62" s="635"/>
      <c r="I62" s="636"/>
      <c r="J62" s="636"/>
      <c r="K62" s="637"/>
      <c r="L62" s="639"/>
      <c r="M62" s="636"/>
      <c r="N62" s="636"/>
      <c r="O62" s="637"/>
    </row>
    <row r="63" spans="1:15" hidden="1" x14ac:dyDescent="0.2">
      <c r="A63" s="622">
        <v>35</v>
      </c>
      <c r="B63" s="625"/>
      <c r="C63" s="627"/>
      <c r="D63" s="633">
        <v>6.2</v>
      </c>
      <c r="E63" s="631">
        <v>3.8</v>
      </c>
      <c r="F63" s="631">
        <v>13.9</v>
      </c>
      <c r="G63" s="626">
        <v>10.1</v>
      </c>
      <c r="H63" s="635"/>
      <c r="I63" s="636"/>
      <c r="J63" s="636"/>
      <c r="K63" s="637"/>
      <c r="L63" s="639"/>
      <c r="M63" s="636"/>
      <c r="N63" s="636"/>
      <c r="O63" s="637"/>
    </row>
    <row r="64" spans="1:15" hidden="1" x14ac:dyDescent="0.2">
      <c r="A64" s="622">
        <v>50</v>
      </c>
      <c r="B64" s="625"/>
      <c r="C64" s="627"/>
      <c r="D64" s="633">
        <v>6.5</v>
      </c>
      <c r="E64" s="631">
        <v>3.5</v>
      </c>
      <c r="F64" s="631">
        <v>14.4</v>
      </c>
      <c r="G64" s="626">
        <v>9.6</v>
      </c>
      <c r="H64" s="635"/>
      <c r="I64" s="636"/>
      <c r="J64" s="636"/>
      <c r="K64" s="637"/>
      <c r="L64" s="639"/>
      <c r="M64" s="636"/>
      <c r="N64" s="636"/>
      <c r="O64" s="637"/>
    </row>
    <row r="65" spans="1:15" hidden="1" x14ac:dyDescent="0.2">
      <c r="A65" s="622">
        <v>65</v>
      </c>
      <c r="B65" s="623">
        <v>210</v>
      </c>
      <c r="C65" s="626">
        <v>460</v>
      </c>
      <c r="D65" s="633">
        <v>6.7</v>
      </c>
      <c r="E65" s="631">
        <v>3.3</v>
      </c>
      <c r="F65" s="631">
        <v>14.7</v>
      </c>
      <c r="G65" s="626">
        <v>9.3000000000000007</v>
      </c>
      <c r="H65" s="633">
        <v>6.7</v>
      </c>
      <c r="I65" s="631">
        <v>3.3</v>
      </c>
      <c r="J65" s="631">
        <v>14.7</v>
      </c>
      <c r="K65" s="632">
        <v>9.3000000000000007</v>
      </c>
      <c r="L65" s="640">
        <v>6.7</v>
      </c>
      <c r="M65" s="631">
        <v>3.3</v>
      </c>
      <c r="N65" s="631">
        <v>14.7</v>
      </c>
      <c r="O65" s="632">
        <v>9.3000000000000007</v>
      </c>
    </row>
    <row r="66" spans="1:15" hidden="1" x14ac:dyDescent="0.2">
      <c r="A66" s="622">
        <v>75</v>
      </c>
      <c r="B66" s="623">
        <v>260</v>
      </c>
      <c r="C66" s="626">
        <v>600</v>
      </c>
      <c r="D66" s="633">
        <v>6.9</v>
      </c>
      <c r="E66" s="631">
        <v>3.1</v>
      </c>
      <c r="F66" s="631">
        <v>15</v>
      </c>
      <c r="G66" s="626">
        <v>9</v>
      </c>
      <c r="H66" s="633">
        <v>6.9</v>
      </c>
      <c r="I66" s="631">
        <v>3.1</v>
      </c>
      <c r="J66" s="631">
        <v>15</v>
      </c>
      <c r="K66" s="632">
        <v>9</v>
      </c>
      <c r="L66" s="640">
        <v>6.9</v>
      </c>
      <c r="M66" s="631">
        <v>3.1</v>
      </c>
      <c r="N66" s="631">
        <v>15</v>
      </c>
      <c r="O66" s="632">
        <v>9</v>
      </c>
    </row>
    <row r="67" spans="1:15" hidden="1" x14ac:dyDescent="0.2">
      <c r="A67" s="622">
        <v>85</v>
      </c>
      <c r="B67" s="623">
        <v>320</v>
      </c>
      <c r="C67" s="626">
        <v>740</v>
      </c>
      <c r="D67" s="633">
        <v>7.1</v>
      </c>
      <c r="E67" s="631">
        <v>2.9</v>
      </c>
      <c r="F67" s="631">
        <v>15.4</v>
      </c>
      <c r="G67" s="626">
        <v>8.6</v>
      </c>
      <c r="H67" s="633">
        <v>7.1</v>
      </c>
      <c r="I67" s="631">
        <v>2.9</v>
      </c>
      <c r="J67" s="631">
        <v>15.4</v>
      </c>
      <c r="K67" s="632">
        <v>8.6</v>
      </c>
      <c r="L67" s="640">
        <v>7.1</v>
      </c>
      <c r="M67" s="631">
        <v>2.9</v>
      </c>
      <c r="N67" s="631">
        <v>15.4</v>
      </c>
      <c r="O67" s="632">
        <v>8.6</v>
      </c>
    </row>
    <row r="68" spans="1:15" hidden="1" x14ac:dyDescent="0.2">
      <c r="A68" s="622">
        <v>100</v>
      </c>
      <c r="B68" s="623">
        <v>380</v>
      </c>
      <c r="C68" s="626">
        <v>910</v>
      </c>
      <c r="D68" s="633">
        <v>7.3</v>
      </c>
      <c r="E68" s="631">
        <v>2.7</v>
      </c>
      <c r="F68" s="631">
        <v>15.7</v>
      </c>
      <c r="G68" s="626">
        <v>8.3000000000000007</v>
      </c>
      <c r="H68" s="633">
        <v>7.3</v>
      </c>
      <c r="I68" s="631">
        <v>2.7</v>
      </c>
      <c r="J68" s="631">
        <v>15.7</v>
      </c>
      <c r="K68" s="632">
        <v>8.3000000000000007</v>
      </c>
      <c r="L68" s="640">
        <v>7.3</v>
      </c>
      <c r="M68" s="631">
        <v>2.7</v>
      </c>
      <c r="N68" s="631">
        <v>15.7</v>
      </c>
      <c r="O68" s="632">
        <v>8.3000000000000007</v>
      </c>
    </row>
    <row r="69" spans="1:15" hidden="1" x14ac:dyDescent="0.2">
      <c r="A69" s="622">
        <v>120</v>
      </c>
      <c r="B69" s="623">
        <v>430</v>
      </c>
      <c r="C69" s="626">
        <v>1110</v>
      </c>
      <c r="D69" s="633">
        <v>7.6</v>
      </c>
      <c r="E69" s="631">
        <v>2.4</v>
      </c>
      <c r="F69" s="631">
        <v>16.2</v>
      </c>
      <c r="G69" s="626">
        <v>7.8</v>
      </c>
      <c r="H69" s="633">
        <v>7.6</v>
      </c>
      <c r="I69" s="631">
        <v>2.4</v>
      </c>
      <c r="J69" s="631">
        <v>16.2</v>
      </c>
      <c r="K69" s="632">
        <v>7.8</v>
      </c>
      <c r="L69" s="640">
        <v>7.6</v>
      </c>
      <c r="M69" s="631">
        <v>2.4</v>
      </c>
      <c r="N69" s="631">
        <v>16.2</v>
      </c>
      <c r="O69" s="632">
        <v>7.8</v>
      </c>
    </row>
    <row r="70" spans="1:15" hidden="1" x14ac:dyDescent="0.2">
      <c r="A70" s="622">
        <v>140</v>
      </c>
      <c r="B70" s="623">
        <v>490</v>
      </c>
      <c r="C70" s="626">
        <v>1310</v>
      </c>
      <c r="D70" s="633">
        <v>7.8</v>
      </c>
      <c r="E70" s="631">
        <v>2.2000000000000002</v>
      </c>
      <c r="F70" s="631">
        <v>16.5</v>
      </c>
      <c r="G70" s="626">
        <v>7.5</v>
      </c>
      <c r="H70" s="633">
        <v>7.8</v>
      </c>
      <c r="I70" s="631">
        <v>2.2000000000000002</v>
      </c>
      <c r="J70" s="631">
        <v>16.5</v>
      </c>
      <c r="K70" s="632">
        <v>7.5</v>
      </c>
      <c r="L70" s="640">
        <v>7.8</v>
      </c>
      <c r="M70" s="631">
        <v>2.2000000000000002</v>
      </c>
      <c r="N70" s="631">
        <v>16.5</v>
      </c>
      <c r="O70" s="632">
        <v>7.5</v>
      </c>
    </row>
    <row r="71" spans="1:15" hidden="1" x14ac:dyDescent="0.2">
      <c r="A71" s="622">
        <v>190</v>
      </c>
      <c r="B71" s="623">
        <v>550</v>
      </c>
      <c r="C71" s="626">
        <v>1540</v>
      </c>
      <c r="D71" s="633">
        <v>8</v>
      </c>
      <c r="E71" s="631">
        <v>2</v>
      </c>
      <c r="F71" s="631">
        <v>16.8</v>
      </c>
      <c r="G71" s="626">
        <v>7.2</v>
      </c>
      <c r="H71" s="633">
        <v>8</v>
      </c>
      <c r="I71" s="631">
        <v>2</v>
      </c>
      <c r="J71" s="631">
        <v>16.8</v>
      </c>
      <c r="K71" s="632">
        <v>7.2</v>
      </c>
      <c r="L71" s="640">
        <v>8</v>
      </c>
      <c r="M71" s="631">
        <v>2</v>
      </c>
      <c r="N71" s="631">
        <v>16.8</v>
      </c>
      <c r="O71" s="632">
        <v>7.2</v>
      </c>
    </row>
    <row r="72" spans="1:15" hidden="1" x14ac:dyDescent="0.2">
      <c r="A72" s="622">
        <v>240</v>
      </c>
      <c r="B72" s="623">
        <v>610</v>
      </c>
      <c r="C72" s="626">
        <v>1760</v>
      </c>
      <c r="D72" s="633">
        <v>8.1999999999999993</v>
      </c>
      <c r="E72" s="631">
        <v>1.8</v>
      </c>
      <c r="F72" s="631">
        <v>17.100000000000001</v>
      </c>
      <c r="G72" s="626">
        <v>6.9</v>
      </c>
      <c r="H72" s="633">
        <v>8.1999999999999993</v>
      </c>
      <c r="I72" s="631">
        <v>1.8</v>
      </c>
      <c r="J72" s="631">
        <v>17.100000000000001</v>
      </c>
      <c r="K72" s="632">
        <v>6.9</v>
      </c>
      <c r="L72" s="640">
        <v>8.1999999999999993</v>
      </c>
      <c r="M72" s="631">
        <v>1.8</v>
      </c>
      <c r="N72" s="631">
        <v>17.100000000000001</v>
      </c>
      <c r="O72" s="632">
        <v>6.9</v>
      </c>
    </row>
    <row r="73" spans="1:15" hidden="1" x14ac:dyDescent="0.2">
      <c r="A73" s="622">
        <v>310</v>
      </c>
      <c r="B73" s="623">
        <v>700</v>
      </c>
      <c r="C73" s="626">
        <v>2020</v>
      </c>
      <c r="D73" s="633">
        <v>8.4</v>
      </c>
      <c r="E73" s="631">
        <v>1.6</v>
      </c>
      <c r="F73" s="631">
        <v>17.399999999999999</v>
      </c>
      <c r="G73" s="626">
        <v>6.6</v>
      </c>
      <c r="H73" s="633">
        <v>8.4</v>
      </c>
      <c r="I73" s="631">
        <v>1.6</v>
      </c>
      <c r="J73" s="631">
        <v>17.399999999999999</v>
      </c>
      <c r="K73" s="632">
        <v>6.6</v>
      </c>
      <c r="L73" s="640">
        <v>8.4</v>
      </c>
      <c r="M73" s="631">
        <v>1.6</v>
      </c>
      <c r="N73" s="631">
        <v>17.399999999999999</v>
      </c>
      <c r="O73" s="632">
        <v>6.6</v>
      </c>
    </row>
    <row r="74" spans="1:15" hidden="1" x14ac:dyDescent="0.2">
      <c r="A74" s="622">
        <v>380</v>
      </c>
      <c r="B74" s="623">
        <v>810</v>
      </c>
      <c r="C74" s="626">
        <v>2310</v>
      </c>
      <c r="D74" s="633">
        <v>8.6999999999999993</v>
      </c>
      <c r="E74" s="631">
        <v>1.3</v>
      </c>
      <c r="F74" s="631">
        <v>17.899999999999999</v>
      </c>
      <c r="G74" s="626">
        <v>6.1</v>
      </c>
      <c r="H74" s="633">
        <v>8.6999999999999993</v>
      </c>
      <c r="I74" s="631">
        <v>1.3</v>
      </c>
      <c r="J74" s="631">
        <v>17.899999999999999</v>
      </c>
      <c r="K74" s="632">
        <v>6.1</v>
      </c>
      <c r="L74" s="640">
        <v>8.6999999999999993</v>
      </c>
      <c r="M74" s="631">
        <v>1.3</v>
      </c>
      <c r="N74" s="631">
        <v>17.899999999999999</v>
      </c>
      <c r="O74" s="632">
        <v>6.1</v>
      </c>
    </row>
    <row r="75" spans="1:15" hidden="1" x14ac:dyDescent="0.2">
      <c r="A75" s="622">
        <v>460</v>
      </c>
      <c r="B75" s="623">
        <v>910</v>
      </c>
      <c r="C75" s="626">
        <v>2600</v>
      </c>
      <c r="D75" s="633">
        <v>8.9</v>
      </c>
      <c r="E75" s="631">
        <v>1.1000000000000001</v>
      </c>
      <c r="F75" s="631">
        <v>18.2</v>
      </c>
      <c r="G75" s="626">
        <v>5.8</v>
      </c>
      <c r="H75" s="633">
        <v>8.9</v>
      </c>
      <c r="I75" s="631">
        <v>1.1000000000000001</v>
      </c>
      <c r="J75" s="631">
        <v>18.2</v>
      </c>
      <c r="K75" s="632">
        <v>5.8</v>
      </c>
      <c r="L75" s="640">
        <v>8.9</v>
      </c>
      <c r="M75" s="631">
        <v>1.1000000000000001</v>
      </c>
      <c r="N75" s="631">
        <v>18.2</v>
      </c>
      <c r="O75" s="632">
        <v>5.8</v>
      </c>
    </row>
    <row r="76" spans="1:15" hidden="1" x14ac:dyDescent="0.2">
      <c r="A76" s="622">
        <v>560</v>
      </c>
      <c r="B76" s="623">
        <v>1000</v>
      </c>
      <c r="C76" s="626">
        <v>3000</v>
      </c>
      <c r="D76" s="633">
        <v>9.1</v>
      </c>
      <c r="E76" s="631">
        <v>0.9</v>
      </c>
      <c r="F76" s="631">
        <v>18.600000000000001</v>
      </c>
      <c r="G76" s="626">
        <v>5.4</v>
      </c>
      <c r="H76" s="633">
        <v>9.1</v>
      </c>
      <c r="I76" s="631">
        <v>0.9</v>
      </c>
      <c r="J76" s="631">
        <v>18.600000000000001</v>
      </c>
      <c r="K76" s="632">
        <v>5.4</v>
      </c>
      <c r="L76" s="640">
        <v>9.1</v>
      </c>
      <c r="M76" s="631">
        <v>0.9</v>
      </c>
      <c r="N76" s="631">
        <v>18.600000000000001</v>
      </c>
      <c r="O76" s="632">
        <v>5.4</v>
      </c>
    </row>
    <row r="77" spans="1:15" hidden="1" x14ac:dyDescent="0.2">
      <c r="A77" s="622">
        <v>660</v>
      </c>
      <c r="B77" s="623">
        <v>1090</v>
      </c>
      <c r="C77" s="626">
        <v>3400</v>
      </c>
      <c r="D77" s="633">
        <v>9.3000000000000007</v>
      </c>
      <c r="E77" s="631">
        <v>0.7</v>
      </c>
      <c r="F77" s="631">
        <v>18.899999999999999</v>
      </c>
      <c r="G77" s="626">
        <v>5.0999999999999996</v>
      </c>
      <c r="H77" s="633">
        <v>9.3000000000000007</v>
      </c>
      <c r="I77" s="631">
        <v>0.7</v>
      </c>
      <c r="J77" s="631">
        <v>18.899999999999999</v>
      </c>
      <c r="K77" s="632">
        <v>5.0999999999999996</v>
      </c>
      <c r="L77" s="640">
        <v>9.3000000000000007</v>
      </c>
      <c r="M77" s="631">
        <v>0.7</v>
      </c>
      <c r="N77" s="631">
        <v>18.899999999999999</v>
      </c>
      <c r="O77" s="632">
        <v>5.0999999999999996</v>
      </c>
    </row>
    <row r="78" spans="1:15" hidden="1" x14ac:dyDescent="0.2">
      <c r="A78" s="622">
        <v>730</v>
      </c>
      <c r="B78" s="623">
        <v>1150</v>
      </c>
      <c r="C78" s="626">
        <v>3730</v>
      </c>
      <c r="D78" s="633">
        <v>9.5</v>
      </c>
      <c r="E78" s="631">
        <v>0.5</v>
      </c>
      <c r="F78" s="631">
        <v>19.2</v>
      </c>
      <c r="G78" s="626">
        <v>4.8</v>
      </c>
      <c r="H78" s="633">
        <v>9.5</v>
      </c>
      <c r="I78" s="631">
        <v>0.5</v>
      </c>
      <c r="J78" s="631">
        <v>19.2</v>
      </c>
      <c r="K78" s="632">
        <v>4.8</v>
      </c>
      <c r="L78" s="640">
        <v>9.5</v>
      </c>
      <c r="M78" s="631">
        <v>0.5</v>
      </c>
      <c r="N78" s="631">
        <v>19.2</v>
      </c>
      <c r="O78" s="632">
        <v>4.8</v>
      </c>
    </row>
    <row r="79" spans="1:15" hidden="1" x14ac:dyDescent="0.2">
      <c r="A79" s="622">
        <v>780</v>
      </c>
      <c r="B79" s="623">
        <v>1170</v>
      </c>
      <c r="C79" s="626">
        <v>3990</v>
      </c>
      <c r="D79" s="633">
        <v>9.8000000000000007</v>
      </c>
      <c r="E79" s="631">
        <v>0.2</v>
      </c>
      <c r="F79" s="631">
        <v>19.7</v>
      </c>
      <c r="G79" s="626">
        <v>4.3</v>
      </c>
      <c r="H79" s="633">
        <v>9.8000000000000007</v>
      </c>
      <c r="I79" s="631">
        <v>0.2</v>
      </c>
      <c r="J79" s="631">
        <v>19.7</v>
      </c>
      <c r="K79" s="632">
        <v>4.3</v>
      </c>
      <c r="L79" s="640">
        <v>9.8000000000000007</v>
      </c>
      <c r="M79" s="631">
        <v>0.2</v>
      </c>
      <c r="N79" s="631">
        <v>19.7</v>
      </c>
      <c r="O79" s="632">
        <v>4.3</v>
      </c>
    </row>
    <row r="80" spans="1:15" ht="13.5" hidden="1" thickBot="1" x14ac:dyDescent="0.25">
      <c r="A80" s="624">
        <v>830</v>
      </c>
      <c r="B80" s="612">
        <v>1200</v>
      </c>
      <c r="C80" s="628">
        <v>4250</v>
      </c>
      <c r="D80" s="624">
        <v>10</v>
      </c>
      <c r="E80" s="612">
        <v>0</v>
      </c>
      <c r="F80" s="612">
        <v>20</v>
      </c>
      <c r="G80" s="628">
        <v>4</v>
      </c>
      <c r="H80" s="624">
        <v>10</v>
      </c>
      <c r="I80" s="612">
        <v>0</v>
      </c>
      <c r="J80" s="612">
        <v>20</v>
      </c>
      <c r="K80" s="634">
        <v>4</v>
      </c>
      <c r="L80" s="641">
        <v>10</v>
      </c>
      <c r="M80" s="612">
        <v>0</v>
      </c>
      <c r="N80" s="612">
        <v>20</v>
      </c>
      <c r="O80" s="634">
        <v>4</v>
      </c>
    </row>
    <row r="81" hidden="1" x14ac:dyDescent="0.2"/>
    <row r="82" hidden="1" x14ac:dyDescent="0.2"/>
  </sheetData>
  <sheetProtection sheet="1" objects="1" scenarios="1"/>
  <sortState xmlns:xlrd2="http://schemas.microsoft.com/office/spreadsheetml/2017/richdata2" ref="O65:O80">
    <sortCondition descending="1" ref="O65:O80"/>
  </sortState>
  <mergeCells count="29">
    <mergeCell ref="H7:I7"/>
    <mergeCell ref="A1:I1"/>
    <mergeCell ref="A2:I2"/>
    <mergeCell ref="B39:C41"/>
    <mergeCell ref="D37:D38"/>
    <mergeCell ref="A37:C37"/>
    <mergeCell ref="D7:E7"/>
    <mergeCell ref="D13:E13"/>
    <mergeCell ref="D14:E14"/>
    <mergeCell ref="E37:G37"/>
    <mergeCell ref="F7:G7"/>
    <mergeCell ref="D17:E17"/>
    <mergeCell ref="B16:E16"/>
    <mergeCell ref="A17:A18"/>
    <mergeCell ref="B17:C17"/>
    <mergeCell ref="A8:A9"/>
    <mergeCell ref="B8:C8"/>
    <mergeCell ref="A60:C60"/>
    <mergeCell ref="D60:E60"/>
    <mergeCell ref="H37:J37"/>
    <mergeCell ref="L59:O59"/>
    <mergeCell ref="L60:M60"/>
    <mergeCell ref="N60:O60"/>
    <mergeCell ref="F60:G60"/>
    <mergeCell ref="D59:G59"/>
    <mergeCell ref="H59:K59"/>
    <mergeCell ref="H60:I60"/>
    <mergeCell ref="J60:K60"/>
    <mergeCell ref="I32:L3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42"/>
  <sheetViews>
    <sheetView workbookViewId="0">
      <selection activeCell="L14" sqref="L14"/>
    </sheetView>
  </sheetViews>
  <sheetFormatPr defaultRowHeight="12.75" x14ac:dyDescent="0.2"/>
  <cols>
    <col min="1" max="1" width="23.7109375" customWidth="1"/>
    <col min="2" max="2" width="14.28515625" customWidth="1"/>
    <col min="3" max="3" width="15.7109375" customWidth="1"/>
    <col min="4" max="6" width="16.7109375" customWidth="1"/>
    <col min="7" max="8" width="10.7109375" customWidth="1"/>
    <col min="9" max="9" width="7.140625" customWidth="1"/>
  </cols>
  <sheetData>
    <row r="1" spans="1:13" ht="21" thickTop="1" x14ac:dyDescent="0.3">
      <c r="A1" s="746" t="s">
        <v>737</v>
      </c>
      <c r="B1" s="747"/>
      <c r="C1" s="747"/>
      <c r="D1" s="747"/>
      <c r="E1" s="747"/>
      <c r="F1" s="747"/>
      <c r="G1" s="747"/>
      <c r="H1" s="747"/>
      <c r="I1" s="748"/>
    </row>
    <row r="2" spans="1:13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1"/>
    </row>
    <row r="3" spans="1:13" ht="13.5" thickTop="1" x14ac:dyDescent="0.2">
      <c r="A3" s="597"/>
      <c r="B3" s="598"/>
      <c r="C3" s="598"/>
      <c r="D3" s="599"/>
      <c r="E3" s="599"/>
      <c r="F3" s="599"/>
      <c r="G3" s="599"/>
      <c r="H3" s="599"/>
      <c r="I3" s="600"/>
    </row>
    <row r="4" spans="1:13" x14ac:dyDescent="0.2">
      <c r="A4" s="446"/>
      <c r="B4" s="505" t="s">
        <v>23</v>
      </c>
      <c r="C4" s="447"/>
      <c r="D4" s="506"/>
      <c r="E4" s="447"/>
      <c r="F4" s="447"/>
      <c r="G4" s="447"/>
      <c r="H4" s="447"/>
      <c r="I4" s="449"/>
    </row>
    <row r="5" spans="1:13" x14ac:dyDescent="0.2">
      <c r="A5" s="450" t="s">
        <v>459</v>
      </c>
      <c r="B5" s="31">
        <v>3609</v>
      </c>
      <c r="C5" s="506" t="s">
        <v>316</v>
      </c>
      <c r="D5" s="506"/>
      <c r="E5" s="447"/>
      <c r="F5" s="447"/>
      <c r="G5" s="447"/>
      <c r="H5" s="506"/>
      <c r="I5" s="449"/>
    </row>
    <row r="6" spans="1:13" x14ac:dyDescent="0.2">
      <c r="A6" s="450" t="s">
        <v>460</v>
      </c>
      <c r="B6" s="31">
        <v>3609</v>
      </c>
      <c r="C6" s="506" t="s">
        <v>316</v>
      </c>
      <c r="D6" s="447"/>
      <c r="E6" s="447"/>
      <c r="F6" s="447"/>
      <c r="G6" s="447"/>
      <c r="H6" s="506"/>
      <c r="I6" s="449"/>
    </row>
    <row r="7" spans="1:13" ht="13.5" thickBot="1" x14ac:dyDescent="0.25">
      <c r="A7" s="450"/>
      <c r="B7" s="452"/>
      <c r="C7" s="506"/>
      <c r="D7" s="447"/>
      <c r="E7" s="447"/>
      <c r="F7" s="447"/>
      <c r="G7" s="447"/>
      <c r="H7" s="506"/>
      <c r="I7" s="449"/>
    </row>
    <row r="8" spans="1:13" ht="14.25" thickTop="1" thickBot="1" x14ac:dyDescent="0.25">
      <c r="A8" s="446"/>
      <c r="B8" s="810" t="s">
        <v>552</v>
      </c>
      <c r="C8" s="811"/>
      <c r="D8" s="811"/>
      <c r="E8" s="812"/>
      <c r="F8" s="447"/>
      <c r="G8" s="447"/>
      <c r="H8" s="447"/>
      <c r="I8" s="449"/>
    </row>
    <row r="9" spans="1:13" ht="13.5" thickTop="1" x14ac:dyDescent="0.2">
      <c r="A9" s="790" t="s">
        <v>22</v>
      </c>
      <c r="B9" s="804" t="s">
        <v>49</v>
      </c>
      <c r="C9" s="805"/>
      <c r="D9" s="805" t="s">
        <v>462</v>
      </c>
      <c r="E9" s="806"/>
      <c r="F9" s="380" t="s">
        <v>553</v>
      </c>
      <c r="G9" s="807" t="s">
        <v>463</v>
      </c>
      <c r="H9" s="743"/>
      <c r="I9" s="449"/>
    </row>
    <row r="10" spans="1:13" x14ac:dyDescent="0.2">
      <c r="A10" s="803"/>
      <c r="B10" s="378" t="s">
        <v>461</v>
      </c>
      <c r="C10" s="187" t="s">
        <v>50</v>
      </c>
      <c r="D10" s="71" t="s">
        <v>51</v>
      </c>
      <c r="E10" s="34" t="s">
        <v>61</v>
      </c>
      <c r="F10" s="379" t="s">
        <v>61</v>
      </c>
      <c r="G10" s="808" t="s">
        <v>51</v>
      </c>
      <c r="H10" s="809"/>
      <c r="I10" s="449"/>
    </row>
    <row r="11" spans="1:13" x14ac:dyDescent="0.2">
      <c r="A11" s="381" t="s">
        <v>97</v>
      </c>
      <c r="B11" s="378" t="s">
        <v>447</v>
      </c>
      <c r="C11" s="187" t="s">
        <v>550</v>
      </c>
      <c r="D11" s="392" t="str">
        <f>IF(D37="UDEN FOR OMRÅDET","NOT POSSIBLE",IF(F37="UDEN FOR OMRÅDET","NOT POSSIBLE",(0.0111*B5-0.1246)))</f>
        <v>NOT POSSIBLE</v>
      </c>
      <c r="E11" s="389" t="str">
        <f>IF(D37="UDEN FOR OMRÅDET","NOT POSSIBLE",IF($B$5&lt;66,14.6,((((-0.000003*B5^2+0.0097*B5+13.982))))))</f>
        <v>NOT POSSIBLE</v>
      </c>
      <c r="F11" s="421" t="str">
        <f>IF(E11="NOT POSSIBLE","NOT POSSIBLE",(E11+(((B$5/1000)/1.9)^2)*100))</f>
        <v>NOT POSSIBLE</v>
      </c>
      <c r="G11" s="797" t="str">
        <f>IF(D11="NOT POSSIBLE","NOT POSSIBLE",IF($B$6&gt;$B$5,"NOT POSSIBLE",($B$6/$B$5)))</f>
        <v>NOT POSSIBLE</v>
      </c>
      <c r="H11" s="798"/>
      <c r="I11" s="449"/>
    </row>
    <row r="12" spans="1:13" x14ac:dyDescent="0.2">
      <c r="A12" s="382" t="s">
        <v>458</v>
      </c>
      <c r="B12" s="385" t="s">
        <v>450</v>
      </c>
      <c r="C12" s="366" t="s">
        <v>549</v>
      </c>
      <c r="D12" s="420" t="str">
        <f>IF(D38="UDEN FOR OMRÅDET","NOT POSSIBLE",IF(F38="UDEN FOR OMRÅDET","NOT POSSIBLE",( 0.0031*B5-0.0739)))</f>
        <v>NOT POSSIBLE</v>
      </c>
      <c r="E12" s="422" t="str">
        <f>IF(D38="UDEN FOR OMRÅDET","NOT POSSIBLE",IF($B$5&lt;219,16,((((-0.000003*B5^2+0.0097*B5+13.982))))))</f>
        <v>NOT POSSIBLE</v>
      </c>
      <c r="F12" s="421" t="str">
        <f t="shared" ref="F12" si="0">IF(E12="NOT POSSIBLE","NOT POSSIBLE",(E12+(((B$5/1000)/1.9)^2)*100))</f>
        <v>NOT POSSIBLE</v>
      </c>
      <c r="G12" s="797" t="str">
        <f>IF(D12="NOT POSSIBLE","NOT POSSIBLE",IF($B$6&gt;$B$5,"NOT POSSIBLE",($B$6/$B$5)))</f>
        <v>NOT POSSIBLE</v>
      </c>
      <c r="H12" s="798"/>
      <c r="I12" s="449"/>
    </row>
    <row r="13" spans="1:13" x14ac:dyDescent="0.2">
      <c r="A13" s="383" t="s">
        <v>486</v>
      </c>
      <c r="B13" s="386" t="s">
        <v>489</v>
      </c>
      <c r="C13" s="326" t="s">
        <v>548</v>
      </c>
      <c r="D13" s="392" t="str">
        <f>IF(D39="UDEN FOR OMRÅDET","NOT POSSIBLE",IF(F39="UDEN FOR OMRÅDET","NOT POSSIBLE",(ROUND(0.000000000000738*B5^4-0.000000003305773*B5^3+0.000004764953804*B5^2-0.000101647006109*B5+0.281655010967834,1))))</f>
        <v>NOT POSSIBLE</v>
      </c>
      <c r="E13" s="389" t="str">
        <f>IF(D39="UDEN FOR OMRÅDET","NOT POSSIBLE",IF($B$5&lt;219,16,((((-1.338352*D13^4+13.061298*D13^3-41.975654*D13^2+55.306489*D13-2.920448))))))</f>
        <v>NOT POSSIBLE</v>
      </c>
      <c r="F13" s="421" t="str">
        <f>IF(E13="NOT POSSIBLE","NOT POSSIBLE",(E13+(((B$5/1000)/4.25)^2)*100))</f>
        <v>NOT POSSIBLE</v>
      </c>
      <c r="G13" s="801" t="str">
        <f>IF(D13="NOT POSSIBLE","NOT POSSIBLE",IF($B$6&gt;$B$5,"NOT POSSIBLE",($B$6/$B$5)))</f>
        <v>NOT POSSIBLE</v>
      </c>
      <c r="H13" s="802"/>
      <c r="I13" s="449"/>
    </row>
    <row r="14" spans="1:13" ht="13.5" thickBot="1" x14ac:dyDescent="0.25">
      <c r="A14" s="384" t="s">
        <v>547</v>
      </c>
      <c r="B14" s="387" t="s">
        <v>456</v>
      </c>
      <c r="C14" s="377" t="s">
        <v>533</v>
      </c>
      <c r="D14" s="394">
        <f>IF(D40="UDEN FOR OMRÅDET","NOT POSSIBLE",IF(F38="UDEN FOR OMRÅDET","NOT POSSIBLE",( 0.00113*B5-0.077966)))</f>
        <v>4.0002040000000001</v>
      </c>
      <c r="E14" s="391">
        <f>IF(D40="UDEN FOR OMRÅDET","NOT POSSIBLE",IF($B$5&lt;219,16,((((0.1565*D14^3-0.4391*D14^2+0.7641*D14+16.949))))))</f>
        <v>22.996771773082592</v>
      </c>
      <c r="F14" s="423">
        <f>IF(E14="NOT POSSIBLE","NOT POSSIBLE",(E14+(((B$5/1000)/4.25)^2)*100))</f>
        <v>95.106839593151818</v>
      </c>
      <c r="G14" s="799">
        <f>IF(D14="NOT POSSIBLE","NOT POSSIBLE",IF($B$6&gt;$B$5,"NOT POSSIBLE",($B$6/$B$5)))</f>
        <v>1</v>
      </c>
      <c r="H14" s="800"/>
      <c r="I14" s="449"/>
    </row>
    <row r="15" spans="1:13" ht="13.5" thickTop="1" x14ac:dyDescent="0.2">
      <c r="A15" s="446"/>
      <c r="B15" s="447"/>
      <c r="C15" s="447"/>
      <c r="D15" s="447"/>
      <c r="E15" s="447"/>
      <c r="F15" s="447"/>
      <c r="G15" s="447"/>
      <c r="H15" s="447"/>
      <c r="I15" s="449"/>
    </row>
    <row r="16" spans="1:13" x14ac:dyDescent="0.2">
      <c r="A16" s="446"/>
      <c r="B16" s="447"/>
      <c r="C16" s="447"/>
      <c r="D16" s="447"/>
      <c r="E16" s="506"/>
      <c r="F16" s="506"/>
      <c r="G16" s="447"/>
      <c r="H16" s="447"/>
      <c r="I16" s="449"/>
      <c r="M16" s="60"/>
    </row>
    <row r="17" spans="1:9" x14ac:dyDescent="0.2">
      <c r="A17" s="446"/>
      <c r="B17" s="447"/>
      <c r="C17" s="447"/>
      <c r="D17" s="447"/>
      <c r="E17" s="447"/>
      <c r="F17" s="447"/>
      <c r="G17" s="447"/>
      <c r="H17" s="447"/>
      <c r="I17" s="449"/>
    </row>
    <row r="18" spans="1:9" x14ac:dyDescent="0.2">
      <c r="A18" s="446"/>
      <c r="B18" s="447"/>
      <c r="C18" s="447"/>
      <c r="D18" s="447"/>
      <c r="E18" s="447"/>
      <c r="F18" s="447"/>
      <c r="G18" s="447"/>
      <c r="H18" s="447"/>
      <c r="I18" s="449"/>
    </row>
    <row r="19" spans="1:9" x14ac:dyDescent="0.2">
      <c r="A19" s="446"/>
      <c r="B19" s="447"/>
      <c r="C19" s="447"/>
      <c r="D19" s="447"/>
      <c r="E19" s="447"/>
      <c r="F19" s="447"/>
      <c r="G19" s="447"/>
      <c r="H19" s="447"/>
      <c r="I19" s="449"/>
    </row>
    <row r="20" spans="1:9" x14ac:dyDescent="0.2">
      <c r="A20" s="446"/>
      <c r="B20" s="447"/>
      <c r="C20" s="447"/>
      <c r="D20" s="447"/>
      <c r="E20" s="447"/>
      <c r="F20" s="447"/>
      <c r="G20" s="447"/>
      <c r="H20" s="447"/>
      <c r="I20" s="449"/>
    </row>
    <row r="21" spans="1:9" x14ac:dyDescent="0.2">
      <c r="A21" s="446"/>
      <c r="B21" s="447"/>
      <c r="C21" s="447"/>
      <c r="D21" s="447"/>
      <c r="E21" s="447"/>
      <c r="F21" s="447"/>
      <c r="G21" s="447"/>
      <c r="H21" s="447"/>
      <c r="I21" s="449"/>
    </row>
    <row r="22" spans="1:9" x14ac:dyDescent="0.2">
      <c r="A22" s="446"/>
      <c r="B22" s="447"/>
      <c r="C22" s="447"/>
      <c r="D22" s="447"/>
      <c r="E22" s="447"/>
      <c r="F22" s="447"/>
      <c r="G22" s="447"/>
      <c r="H22" s="447"/>
      <c r="I22" s="449"/>
    </row>
    <row r="23" spans="1:9" x14ac:dyDescent="0.2">
      <c r="A23" s="446"/>
      <c r="B23" s="447"/>
      <c r="C23" s="447"/>
      <c r="D23" s="447"/>
      <c r="E23" s="447"/>
      <c r="F23" s="447"/>
      <c r="G23" s="447"/>
      <c r="H23" s="447"/>
      <c r="I23" s="449"/>
    </row>
    <row r="24" spans="1:9" x14ac:dyDescent="0.2">
      <c r="A24" s="446"/>
      <c r="B24" s="447"/>
      <c r="C24" s="447"/>
      <c r="D24" s="447"/>
      <c r="E24" s="447"/>
      <c r="F24" s="447"/>
      <c r="G24" s="447"/>
      <c r="H24" s="447"/>
      <c r="I24" s="449"/>
    </row>
    <row r="25" spans="1:9" x14ac:dyDescent="0.2">
      <c r="A25" s="446"/>
      <c r="B25" s="447"/>
      <c r="C25" s="447"/>
      <c r="D25" s="447"/>
      <c r="E25" s="447"/>
      <c r="F25" s="447"/>
      <c r="G25" s="447"/>
      <c r="H25" s="447"/>
      <c r="I25" s="449"/>
    </row>
    <row r="26" spans="1:9" x14ac:dyDescent="0.2">
      <c r="A26" s="446"/>
      <c r="B26" s="447"/>
      <c r="C26" s="447"/>
      <c r="D26" s="447"/>
      <c r="E26" s="447"/>
      <c r="F26" s="447"/>
      <c r="G26" s="447"/>
      <c r="H26" s="447"/>
      <c r="I26" s="449"/>
    </row>
    <row r="27" spans="1:9" x14ac:dyDescent="0.2">
      <c r="A27" s="446"/>
      <c r="B27" s="447"/>
      <c r="C27" s="447"/>
      <c r="D27" s="447"/>
      <c r="E27" s="447"/>
      <c r="F27" s="447"/>
      <c r="G27" s="447"/>
      <c r="H27" s="447"/>
      <c r="I27" s="449"/>
    </row>
    <row r="28" spans="1:9" x14ac:dyDescent="0.2">
      <c r="A28" s="446"/>
      <c r="B28" s="447"/>
      <c r="C28" s="447"/>
      <c r="D28" s="447"/>
      <c r="E28" s="447"/>
      <c r="F28" s="447"/>
      <c r="G28" s="447"/>
      <c r="H28" s="447"/>
      <c r="I28" s="449"/>
    </row>
    <row r="29" spans="1:9" x14ac:dyDescent="0.2">
      <c r="A29" s="446"/>
      <c r="B29" s="447"/>
      <c r="C29" s="447"/>
      <c r="D29" s="447"/>
      <c r="E29" s="447"/>
      <c r="F29" s="447"/>
      <c r="G29" s="447"/>
      <c r="H29" s="447"/>
      <c r="I29" s="449"/>
    </row>
    <row r="30" spans="1:9" x14ac:dyDescent="0.2">
      <c r="A30" s="446"/>
      <c r="B30" s="447"/>
      <c r="C30" s="447"/>
      <c r="D30" s="447"/>
      <c r="E30" s="447"/>
      <c r="F30" s="447"/>
      <c r="G30" s="447"/>
      <c r="H30" s="447"/>
      <c r="I30" s="449"/>
    </row>
    <row r="31" spans="1:9" x14ac:dyDescent="0.2">
      <c r="A31" s="446"/>
      <c r="B31" s="447"/>
      <c r="C31" s="447"/>
      <c r="D31" s="447"/>
      <c r="E31" s="601"/>
      <c r="F31" s="601"/>
      <c r="G31" s="447"/>
      <c r="H31" s="447"/>
      <c r="I31" s="449"/>
    </row>
    <row r="32" spans="1:9" ht="13.5" thickBot="1" x14ac:dyDescent="0.25">
      <c r="A32" s="602" t="s">
        <v>102</v>
      </c>
      <c r="B32" s="485"/>
      <c r="C32" s="485"/>
      <c r="D32" s="485"/>
      <c r="E32" s="485"/>
      <c r="F32" s="485"/>
      <c r="G32" s="485"/>
      <c r="H32" s="485"/>
      <c r="I32" s="486"/>
    </row>
    <row r="33" spans="1:4" ht="13.5" thickTop="1" x14ac:dyDescent="0.2"/>
    <row r="34" spans="1:4" hidden="1" x14ac:dyDescent="0.2"/>
    <row r="35" spans="1:4" ht="13.5" hidden="1" thickBot="1" x14ac:dyDescent="0.25"/>
    <row r="36" spans="1:4" ht="14.25" hidden="1" thickTop="1" thickBot="1" x14ac:dyDescent="0.25">
      <c r="A36" s="9" t="s">
        <v>0</v>
      </c>
      <c r="B36" s="10" t="s">
        <v>4</v>
      </c>
      <c r="C36" s="10" t="s">
        <v>5</v>
      </c>
      <c r="D36" s="11" t="s">
        <v>6</v>
      </c>
    </row>
    <row r="37" spans="1:4" ht="13.5" hidden="1" thickBot="1" x14ac:dyDescent="0.25">
      <c r="A37" s="312" t="s">
        <v>97</v>
      </c>
      <c r="B37" s="36">
        <v>65</v>
      </c>
      <c r="C37" s="1">
        <v>370</v>
      </c>
      <c r="D37" s="2" t="str">
        <f>IF($B$5&lt;=B37-1,"UDEN FOR OMRÅDET",IF($B$5&gt;=C37+1,"UDEN FOR OMRÅDET",$B$5))</f>
        <v>UDEN FOR OMRÅDET</v>
      </c>
    </row>
    <row r="38" spans="1:4" ht="13.5" hidden="1" thickBot="1" x14ac:dyDescent="0.25">
      <c r="A38" s="312" t="s">
        <v>458</v>
      </c>
      <c r="B38" s="2">
        <v>220</v>
      </c>
      <c r="C38" s="2">
        <v>1330</v>
      </c>
      <c r="D38" s="2" t="str">
        <f>IF($B$5&lt;=B38-1,"UDEN FOR OMRÅDET",IF($B$5&gt;=C38+1,"UDEN FOR OMRÅDET",$B$5))</f>
        <v>UDEN FOR OMRÅDET</v>
      </c>
    </row>
    <row r="39" spans="1:4" ht="13.5" hidden="1" thickBot="1" x14ac:dyDescent="0.25">
      <c r="A39" s="312" t="s">
        <v>551</v>
      </c>
      <c r="B39" s="2">
        <v>300</v>
      </c>
      <c r="C39" s="2">
        <v>1800</v>
      </c>
      <c r="D39" s="2" t="str">
        <f>IF($B$5&lt;=B39-1,"UDEN FOR OMRÅDET",IF($B$5&gt;=C39+1,"UDEN FOR OMRÅDET",$B$5))</f>
        <v>UDEN FOR OMRÅDET</v>
      </c>
    </row>
    <row r="40" spans="1:4" hidden="1" x14ac:dyDescent="0.2">
      <c r="A40" s="312" t="s">
        <v>39</v>
      </c>
      <c r="B40" s="2">
        <v>600</v>
      </c>
      <c r="C40" s="2">
        <v>3609</v>
      </c>
      <c r="D40" s="2">
        <f>IF($B$5&lt;=B40-1,"UDEN FOR OMRÅDET",IF($B$5&gt;=C40+1,"UDEN FOR OMRÅDET",$B$5))</f>
        <v>3609</v>
      </c>
    </row>
    <row r="41" spans="1:4" hidden="1" x14ac:dyDescent="0.2"/>
    <row r="42" spans="1:4" hidden="1" x14ac:dyDescent="0.2"/>
  </sheetData>
  <sheetProtection sheet="1" objects="1" scenarios="1"/>
  <mergeCells count="12">
    <mergeCell ref="G11:H11"/>
    <mergeCell ref="G12:H12"/>
    <mergeCell ref="G14:H14"/>
    <mergeCell ref="G13:H13"/>
    <mergeCell ref="A1:I1"/>
    <mergeCell ref="A2:I2"/>
    <mergeCell ref="A9:A10"/>
    <mergeCell ref="B9:C9"/>
    <mergeCell ref="D9:E9"/>
    <mergeCell ref="G9:H9"/>
    <mergeCell ref="G10:H10"/>
    <mergeCell ref="B8:E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14"/>
  <sheetViews>
    <sheetView showGridLines="0" zoomScaleNormal="100" workbookViewId="0">
      <selection activeCell="N107" sqref="N107"/>
    </sheetView>
  </sheetViews>
  <sheetFormatPr defaultColWidth="11.140625" defaultRowHeight="12.75" x14ac:dyDescent="0.2"/>
  <cols>
    <col min="1" max="1" width="4.7109375" customWidth="1"/>
    <col min="2" max="2" width="13.85546875" customWidth="1"/>
    <col min="3" max="3" width="9.7109375" customWidth="1"/>
    <col min="4" max="5" width="9.42578125" customWidth="1"/>
    <col min="6" max="7" width="10.7109375" customWidth="1"/>
    <col min="8" max="8" width="8.7109375" customWidth="1"/>
    <col min="9" max="13" width="10.7109375" customWidth="1"/>
    <col min="14" max="14" width="8.7109375" customWidth="1"/>
    <col min="15" max="15" width="8.7109375" hidden="1" customWidth="1"/>
    <col min="16" max="43" width="0" hidden="1" customWidth="1"/>
  </cols>
  <sheetData>
    <row r="1" spans="1:30" ht="21" thickTop="1" x14ac:dyDescent="0.3">
      <c r="A1" s="746" t="s">
        <v>327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206"/>
      <c r="P1" s="205"/>
      <c r="Q1" s="205"/>
      <c r="R1" s="205"/>
      <c r="S1" s="205"/>
      <c r="T1" s="204"/>
    </row>
    <row r="2" spans="1:30" ht="20.25" x14ac:dyDescent="0.3">
      <c r="A2" s="841" t="s">
        <v>734</v>
      </c>
      <c r="B2" s="842"/>
      <c r="C2" s="842"/>
      <c r="D2" s="842"/>
      <c r="E2" s="842"/>
      <c r="F2" s="842"/>
      <c r="G2" s="842"/>
      <c r="H2" s="842"/>
      <c r="I2" s="842"/>
      <c r="J2" s="842"/>
      <c r="K2" s="842"/>
      <c r="L2" s="842"/>
      <c r="M2" s="842"/>
      <c r="N2" s="843"/>
      <c r="O2" s="203"/>
      <c r="T2" s="90"/>
    </row>
    <row r="3" spans="1:30" ht="18.75" thickBot="1" x14ac:dyDescent="0.3">
      <c r="A3" s="202"/>
      <c r="N3" s="21"/>
      <c r="Q3" s="89"/>
      <c r="R3" s="60"/>
      <c r="S3" s="60"/>
      <c r="T3" s="201"/>
      <c r="V3" s="89"/>
      <c r="W3" s="60"/>
      <c r="X3" s="60"/>
      <c r="Y3" s="85"/>
    </row>
    <row r="4" spans="1:30" ht="13.5" thickBot="1" x14ac:dyDescent="0.25">
      <c r="A4" s="22"/>
      <c r="B4" s="23"/>
      <c r="D4" s="17" t="s">
        <v>23</v>
      </c>
      <c r="F4" s="200" t="s">
        <v>441</v>
      </c>
      <c r="G4" s="199"/>
      <c r="H4" s="199"/>
      <c r="I4" s="198"/>
      <c r="J4" s="197" t="s">
        <v>317</v>
      </c>
      <c r="K4" s="197" t="s">
        <v>309</v>
      </c>
      <c r="L4" s="197" t="s">
        <v>426</v>
      </c>
      <c r="M4" s="197" t="s">
        <v>426</v>
      </c>
      <c r="N4" s="196" t="s">
        <v>427</v>
      </c>
      <c r="Q4" s="89"/>
      <c r="R4" s="89"/>
      <c r="S4" s="89"/>
      <c r="T4" s="160"/>
      <c r="U4" s="89"/>
      <c r="V4" s="89"/>
      <c r="W4" s="89"/>
      <c r="X4" s="89"/>
      <c r="Y4" s="89"/>
      <c r="Z4" s="89"/>
    </row>
    <row r="5" spans="1:30" ht="13.5" thickBot="1" x14ac:dyDescent="0.25">
      <c r="A5" s="22"/>
      <c r="B5" s="23" t="s">
        <v>77</v>
      </c>
      <c r="D5" s="302">
        <v>1000</v>
      </c>
      <c r="E5" s="17" t="s">
        <v>58</v>
      </c>
      <c r="F5" s="195" t="s">
        <v>425</v>
      </c>
      <c r="G5" s="194"/>
      <c r="H5" s="194"/>
      <c r="I5" s="193"/>
      <c r="J5" s="192" t="s">
        <v>316</v>
      </c>
      <c r="K5" s="192" t="s">
        <v>299</v>
      </c>
      <c r="L5" s="192" t="s">
        <v>262</v>
      </c>
      <c r="M5" s="192" t="s">
        <v>261</v>
      </c>
      <c r="N5" s="191"/>
      <c r="Q5" s="89"/>
      <c r="R5" s="89"/>
      <c r="S5" s="89"/>
      <c r="T5" s="160"/>
      <c r="U5" s="89"/>
      <c r="V5" s="89"/>
      <c r="W5" s="89"/>
      <c r="X5" s="89"/>
      <c r="Y5" s="89"/>
      <c r="Z5" s="89"/>
    </row>
    <row r="6" spans="1:30" ht="13.5" thickBot="1" x14ac:dyDescent="0.25">
      <c r="A6" s="22"/>
      <c r="B6" s="189"/>
      <c r="C6" s="17"/>
      <c r="D6" s="17"/>
      <c r="F6" s="23"/>
      <c r="G6" s="23"/>
      <c r="H6" s="23"/>
      <c r="I6" s="23"/>
      <c r="J6" s="17"/>
      <c r="K6" s="17"/>
      <c r="L6" s="17"/>
      <c r="M6" s="17"/>
      <c r="N6" s="175"/>
      <c r="Q6" s="89"/>
      <c r="R6" s="89"/>
      <c r="S6" s="89"/>
      <c r="T6" s="160"/>
      <c r="U6" s="89"/>
      <c r="V6" s="89"/>
      <c r="W6" s="89"/>
      <c r="X6" s="89"/>
      <c r="Y6" s="89"/>
      <c r="Z6" s="89"/>
      <c r="AD6" s="189"/>
    </row>
    <row r="7" spans="1:30" ht="13.5" thickBot="1" x14ac:dyDescent="0.25">
      <c r="A7" s="22"/>
      <c r="B7" s="190" t="s">
        <v>431</v>
      </c>
      <c r="C7" s="110" t="s">
        <v>326</v>
      </c>
      <c r="D7" s="109" t="s">
        <v>325</v>
      </c>
      <c r="F7" s="184" t="s">
        <v>428</v>
      </c>
      <c r="G7" s="183"/>
      <c r="H7" s="183"/>
      <c r="I7" s="183"/>
      <c r="J7" s="404">
        <f>VLOOKUP($D$13,$B$32:$N$39,7)</f>
        <v>1020</v>
      </c>
      <c r="K7" s="404">
        <f>VLOOKUP($D$13,$B$32:$N$39,8)</f>
        <v>12</v>
      </c>
      <c r="L7" s="404" t="str">
        <f>VLOOKUP($D$13,$B$32:$N$39,9)</f>
        <v>50-33089</v>
      </c>
      <c r="M7" s="404" t="str">
        <f>VLOOKUP($D$13,$B$32:$N$39,10)</f>
        <v>49-33089</v>
      </c>
      <c r="N7" s="405">
        <f>J7/D5-1</f>
        <v>2.0000000000000018E-2</v>
      </c>
      <c r="Q7" s="89"/>
      <c r="R7" s="89"/>
      <c r="S7" s="89"/>
      <c r="T7" s="160"/>
      <c r="U7" s="89"/>
      <c r="V7" s="89"/>
      <c r="W7" s="89"/>
      <c r="X7" s="89"/>
      <c r="Y7" s="89"/>
      <c r="Z7" s="89"/>
      <c r="AD7" s="189"/>
    </row>
    <row r="8" spans="1:30" ht="13.5" thickBot="1" x14ac:dyDescent="0.25">
      <c r="A8" s="22"/>
      <c r="B8" s="188" t="s">
        <v>324</v>
      </c>
      <c r="C8" s="187" t="s">
        <v>323</v>
      </c>
      <c r="D8" s="158" t="s">
        <v>322</v>
      </c>
      <c r="F8" s="23"/>
      <c r="G8" s="23"/>
      <c r="H8" s="23"/>
      <c r="I8" s="23"/>
      <c r="J8" s="17"/>
      <c r="K8" s="17"/>
      <c r="L8" s="17"/>
      <c r="M8" s="17"/>
      <c r="N8" s="175"/>
      <c r="Q8" s="89"/>
      <c r="R8" s="89"/>
      <c r="S8" s="89"/>
      <c r="T8" s="160"/>
      <c r="U8" s="89"/>
      <c r="V8" s="89"/>
      <c r="W8" s="89"/>
      <c r="X8" s="89"/>
      <c r="Y8" s="89"/>
      <c r="Z8" s="89"/>
    </row>
    <row r="9" spans="1:30" ht="13.5" thickBot="1" x14ac:dyDescent="0.25">
      <c r="A9" s="22"/>
      <c r="B9" s="186" t="s">
        <v>321</v>
      </c>
      <c r="C9" s="185" t="s">
        <v>320</v>
      </c>
      <c r="D9" s="135" t="s">
        <v>319</v>
      </c>
      <c r="F9" s="184" t="s">
        <v>429</v>
      </c>
      <c r="G9" s="183"/>
      <c r="H9" s="183"/>
      <c r="I9" s="183"/>
      <c r="J9" s="404">
        <f>VLOOKUP($D$13,$B$32:$N$39,3)</f>
        <v>861</v>
      </c>
      <c r="K9" s="404">
        <f>VLOOKUP($D$13,$B$32:$N$39,4)</f>
        <v>12</v>
      </c>
      <c r="L9" s="404" t="str">
        <f>VLOOKUP($D$13,$B$32:$N$39,5)</f>
        <v>50-33082</v>
      </c>
      <c r="M9" s="404" t="str">
        <f>VLOOKUP($D$13,$B$32:$N$39,6)</f>
        <v>49-33082</v>
      </c>
      <c r="N9" s="405">
        <f>J9/D5-1</f>
        <v>-0.13900000000000001</v>
      </c>
      <c r="R9" s="17"/>
      <c r="S9" s="17"/>
      <c r="T9" s="111"/>
      <c r="U9" s="17"/>
      <c r="V9" s="17"/>
      <c r="X9" s="85"/>
      <c r="Z9" s="89"/>
    </row>
    <row r="10" spans="1:30" ht="13.5" thickBot="1" x14ac:dyDescent="0.25">
      <c r="A10" s="22"/>
      <c r="B10" s="23"/>
      <c r="D10" s="92"/>
      <c r="E10" s="23"/>
      <c r="F10" s="23"/>
      <c r="G10" s="23"/>
      <c r="H10" s="23"/>
      <c r="I10" s="23"/>
      <c r="J10" s="23"/>
      <c r="K10" s="23"/>
      <c r="L10" s="23"/>
      <c r="M10" s="23"/>
      <c r="N10" s="21"/>
      <c r="P10" s="23"/>
      <c r="R10" s="92"/>
      <c r="S10" s="23"/>
      <c r="T10" s="94"/>
      <c r="V10" s="17"/>
      <c r="Z10" s="89"/>
    </row>
    <row r="11" spans="1:30" ht="13.5" thickBot="1" x14ac:dyDescent="0.25">
      <c r="A11" s="22"/>
      <c r="B11" s="23"/>
      <c r="C11" s="23"/>
      <c r="D11" s="23"/>
      <c r="E11" s="92"/>
      <c r="H11" s="839" t="s">
        <v>430</v>
      </c>
      <c r="I11" s="840"/>
      <c r="J11" s="839" t="s">
        <v>444</v>
      </c>
      <c r="K11" s="840"/>
      <c r="L11" s="839" t="s">
        <v>445</v>
      </c>
      <c r="M11" s="840"/>
      <c r="N11" s="175"/>
      <c r="P11" s="23"/>
      <c r="R11" s="17"/>
      <c r="S11" s="17"/>
      <c r="T11" s="111"/>
      <c r="U11" s="23"/>
      <c r="V11" s="17"/>
      <c r="Z11" s="89"/>
    </row>
    <row r="12" spans="1:30" ht="13.5" thickBot="1" x14ac:dyDescent="0.25">
      <c r="A12" s="22"/>
      <c r="B12" s="23" t="s">
        <v>438</v>
      </c>
      <c r="C12" s="92"/>
      <c r="D12" s="23"/>
      <c r="H12" s="182" t="s">
        <v>318</v>
      </c>
      <c r="I12" s="181" t="s">
        <v>426</v>
      </c>
      <c r="J12" s="182" t="s">
        <v>318</v>
      </c>
      <c r="K12" s="181" t="s">
        <v>426</v>
      </c>
      <c r="L12" s="182" t="s">
        <v>318</v>
      </c>
      <c r="M12" s="181" t="s">
        <v>426</v>
      </c>
      <c r="N12" s="175"/>
      <c r="P12" s="23"/>
      <c r="Q12" s="835"/>
      <c r="R12" s="835"/>
      <c r="S12" s="835"/>
      <c r="T12" s="836"/>
      <c r="U12" s="23"/>
      <c r="V12" s="835"/>
      <c r="W12" s="835"/>
      <c r="X12" s="835"/>
      <c r="Y12" s="835"/>
      <c r="Z12" s="89"/>
      <c r="AD12" s="23"/>
    </row>
    <row r="13" spans="1:30" ht="13.5" thickBot="1" x14ac:dyDescent="0.25">
      <c r="A13" s="22"/>
      <c r="B13" s="23" t="s">
        <v>432</v>
      </c>
      <c r="D13" s="302">
        <v>50</v>
      </c>
      <c r="H13" s="406">
        <f>VLOOKUP($D$13,$B$32:$N$39,1)</f>
        <v>50</v>
      </c>
      <c r="I13" s="406" t="str">
        <f>VLOOKUP($D$13,$B$32:$N$39,11)</f>
        <v>49-9066</v>
      </c>
      <c r="J13" s="406">
        <f>VLOOKUP($D$13,$B$32:$N$39,1)</f>
        <v>50</v>
      </c>
      <c r="K13" s="406" t="str">
        <f>VLOOKUP($D$13,$B$32:$N$39,12)</f>
        <v>49-9064</v>
      </c>
      <c r="L13" s="406">
        <f>VLOOKUP($D$13,$B$32:$N$39,1)</f>
        <v>50</v>
      </c>
      <c r="M13" s="406" t="str">
        <f>VLOOKUP($D$13,$B$32:$N$39,13)</f>
        <v>49-9061</v>
      </c>
      <c r="N13" s="175"/>
      <c r="Q13" s="89"/>
      <c r="R13" s="89"/>
      <c r="S13" s="837"/>
      <c r="T13" s="838"/>
      <c r="V13" s="89"/>
      <c r="W13" s="89"/>
      <c r="X13" s="837"/>
      <c r="Y13" s="837"/>
      <c r="Z13" s="89"/>
      <c r="AD13" s="23"/>
    </row>
    <row r="14" spans="1:30" ht="13.5" thickBot="1" x14ac:dyDescent="0.25">
      <c r="A14" s="22"/>
      <c r="F14" s="23"/>
      <c r="G14" s="23"/>
      <c r="H14" s="23"/>
      <c r="I14" s="23"/>
      <c r="J14" s="23"/>
      <c r="K14" s="23"/>
      <c r="L14" s="23"/>
      <c r="M14" s="23"/>
      <c r="N14" s="175"/>
      <c r="Q14" s="17"/>
      <c r="R14" s="17"/>
      <c r="S14" s="17"/>
      <c r="T14" s="111"/>
      <c r="V14" s="17"/>
      <c r="W14" s="17"/>
      <c r="X14" s="17"/>
      <c r="Y14" s="17"/>
      <c r="Z14" s="89"/>
    </row>
    <row r="15" spans="1:30" ht="13.5" thickBot="1" x14ac:dyDescent="0.25">
      <c r="A15" s="22"/>
      <c r="B15" s="839" t="s">
        <v>433</v>
      </c>
      <c r="C15" s="840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175"/>
      <c r="P15" s="23"/>
      <c r="Q15" s="92"/>
      <c r="R15" s="92"/>
      <c r="S15" s="92"/>
      <c r="T15" s="94"/>
      <c r="U15" s="93"/>
      <c r="V15" s="92"/>
      <c r="W15" s="92"/>
      <c r="X15" s="92"/>
      <c r="Y15" s="92"/>
      <c r="Z15" s="89"/>
    </row>
    <row r="16" spans="1:30" x14ac:dyDescent="0.2">
      <c r="A16" s="22"/>
      <c r="B16" s="180" t="s">
        <v>434</v>
      </c>
      <c r="C16" s="179" t="s">
        <v>317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175"/>
      <c r="P16" s="23"/>
      <c r="Q16" s="92"/>
      <c r="R16" s="92"/>
      <c r="S16" s="92"/>
      <c r="T16" s="94"/>
      <c r="U16" s="93"/>
      <c r="V16" s="92"/>
      <c r="W16" s="92"/>
      <c r="X16" s="92"/>
      <c r="Y16" s="92"/>
      <c r="Z16" s="89"/>
    </row>
    <row r="17" spans="1:26" x14ac:dyDescent="0.2">
      <c r="A17" s="22"/>
      <c r="B17" s="172" t="s">
        <v>22</v>
      </c>
      <c r="C17" s="178" t="s">
        <v>435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75"/>
      <c r="P17" s="23"/>
      <c r="Q17" s="92"/>
      <c r="R17" s="92"/>
      <c r="S17" s="92"/>
      <c r="T17" s="94"/>
      <c r="U17" s="93"/>
      <c r="V17" s="92"/>
      <c r="W17" s="92"/>
      <c r="X17" s="92"/>
      <c r="Y17" s="92"/>
      <c r="Z17" s="89"/>
    </row>
    <row r="18" spans="1:26" ht="13.5" thickBot="1" x14ac:dyDescent="0.25">
      <c r="A18" s="22"/>
      <c r="B18" s="495" t="s">
        <v>300</v>
      </c>
      <c r="C18" s="496" t="s">
        <v>316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175"/>
      <c r="P18" s="23"/>
      <c r="Q18" s="92"/>
      <c r="R18" s="92"/>
      <c r="S18" s="92"/>
      <c r="T18" s="94"/>
      <c r="U18" s="93"/>
      <c r="V18" s="92"/>
      <c r="W18" s="92"/>
      <c r="X18" s="92"/>
      <c r="Y18" s="92"/>
      <c r="Z18" s="89"/>
    </row>
    <row r="19" spans="1:26" x14ac:dyDescent="0.2">
      <c r="A19" s="22"/>
      <c r="B19" s="177">
        <v>15</v>
      </c>
      <c r="C19" s="176" t="s">
        <v>289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175"/>
      <c r="P19" s="23"/>
      <c r="Q19" s="92"/>
      <c r="R19" s="92"/>
      <c r="S19" s="92"/>
      <c r="T19" s="94"/>
      <c r="U19" s="93"/>
      <c r="V19" s="92"/>
      <c r="W19" s="92"/>
      <c r="X19" s="92"/>
      <c r="Y19" s="92"/>
      <c r="Z19" s="89"/>
    </row>
    <row r="20" spans="1:26" x14ac:dyDescent="0.2">
      <c r="A20" s="22"/>
      <c r="B20" s="497">
        <v>20</v>
      </c>
      <c r="C20" s="498" t="s">
        <v>289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175"/>
      <c r="P20" s="23"/>
      <c r="Q20" s="92"/>
      <c r="R20" s="92"/>
      <c r="S20" s="92"/>
      <c r="T20" s="94"/>
      <c r="U20" s="93"/>
      <c r="V20" s="92"/>
      <c r="W20" s="92"/>
      <c r="X20" s="92"/>
      <c r="Y20" s="92"/>
      <c r="Z20" s="89"/>
    </row>
    <row r="21" spans="1:26" x14ac:dyDescent="0.2">
      <c r="A21" s="22"/>
      <c r="B21" s="499">
        <v>25</v>
      </c>
      <c r="C21" s="500" t="s">
        <v>289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175"/>
      <c r="P21" s="23"/>
      <c r="Q21" s="92"/>
      <c r="R21" s="92"/>
      <c r="S21" s="92"/>
      <c r="T21" s="94"/>
      <c r="U21" s="93"/>
      <c r="V21" s="92"/>
      <c r="W21" s="92"/>
      <c r="X21" s="92"/>
      <c r="Y21" s="92"/>
      <c r="Z21" s="89"/>
    </row>
    <row r="22" spans="1:26" x14ac:dyDescent="0.2">
      <c r="A22" s="22"/>
      <c r="B22" s="497" t="s">
        <v>285</v>
      </c>
      <c r="C22" s="501" t="s">
        <v>275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75"/>
      <c r="P22" s="23"/>
      <c r="Q22" s="92"/>
      <c r="R22" s="92"/>
      <c r="S22" s="92"/>
      <c r="T22" s="94"/>
      <c r="U22" s="93"/>
      <c r="V22" s="92"/>
      <c r="W22" s="92"/>
      <c r="X22" s="92"/>
      <c r="Y22" s="92"/>
      <c r="Z22" s="89"/>
    </row>
    <row r="23" spans="1:26" x14ac:dyDescent="0.2">
      <c r="A23" s="22"/>
      <c r="B23" s="499">
        <v>32</v>
      </c>
      <c r="C23" s="502" t="s">
        <v>275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175"/>
      <c r="P23" s="23"/>
      <c r="Q23" s="92"/>
      <c r="R23" s="92"/>
      <c r="S23" s="92"/>
      <c r="T23" s="94"/>
      <c r="U23" s="93"/>
      <c r="V23" s="92"/>
      <c r="W23" s="92"/>
      <c r="X23" s="92"/>
      <c r="Y23" s="92"/>
      <c r="Z23" s="89"/>
    </row>
    <row r="24" spans="1:26" x14ac:dyDescent="0.2">
      <c r="A24" s="22"/>
      <c r="B24" s="497">
        <v>40</v>
      </c>
      <c r="C24" s="501" t="s">
        <v>275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175"/>
      <c r="P24" s="23"/>
      <c r="Q24" s="92"/>
      <c r="R24" s="92"/>
      <c r="S24" s="92"/>
      <c r="T24" s="94"/>
      <c r="U24" s="93"/>
      <c r="V24" s="92"/>
      <c r="W24" s="92"/>
      <c r="X24" s="92"/>
      <c r="Y24" s="92"/>
      <c r="Z24" s="89"/>
    </row>
    <row r="25" spans="1:26" ht="13.5" thickBot="1" x14ac:dyDescent="0.25">
      <c r="A25" s="22"/>
      <c r="B25" s="503">
        <v>50</v>
      </c>
      <c r="C25" s="504" t="s">
        <v>275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175"/>
      <c r="P25" s="23"/>
      <c r="Q25" s="92"/>
      <c r="R25" s="92"/>
      <c r="S25" s="92"/>
      <c r="T25" s="94"/>
      <c r="U25" s="93"/>
      <c r="V25" s="92"/>
      <c r="W25" s="92"/>
      <c r="X25" s="92"/>
      <c r="Y25" s="92"/>
      <c r="Z25" s="89"/>
    </row>
    <row r="26" spans="1:26" x14ac:dyDescent="0.2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175"/>
      <c r="P26" s="23"/>
      <c r="Q26" s="92"/>
      <c r="R26" s="92"/>
      <c r="S26" s="92"/>
      <c r="T26" s="94"/>
      <c r="U26" s="93"/>
      <c r="V26" s="92"/>
      <c r="W26" s="92"/>
      <c r="X26" s="92"/>
      <c r="Y26" s="92"/>
      <c r="Z26" s="89"/>
    </row>
    <row r="27" spans="1:26" ht="13.5" thickBot="1" x14ac:dyDescent="0.25">
      <c r="A27" s="27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29"/>
      <c r="P27" s="23"/>
      <c r="Q27" s="173"/>
      <c r="R27" s="92"/>
      <c r="S27" s="92"/>
      <c r="T27" s="94"/>
      <c r="U27" s="93"/>
      <c r="V27" s="92"/>
      <c r="W27" s="92"/>
      <c r="X27" s="92"/>
      <c r="Y27" s="92"/>
      <c r="Z27" s="89"/>
    </row>
    <row r="28" spans="1:26" ht="14.25" hidden="1" thickTop="1" thickBot="1" x14ac:dyDescent="0.25">
      <c r="A28" s="106"/>
      <c r="B28" s="823" t="s">
        <v>315</v>
      </c>
      <c r="C28" s="824"/>
      <c r="D28" s="825" t="s">
        <v>314</v>
      </c>
      <c r="E28" s="826"/>
      <c r="F28" s="826"/>
      <c r="G28" s="827"/>
      <c r="H28" s="825" t="s">
        <v>313</v>
      </c>
      <c r="I28" s="826"/>
      <c r="J28" s="826"/>
      <c r="K28" s="827"/>
      <c r="L28" s="828" t="s">
        <v>312</v>
      </c>
      <c r="M28" s="829"/>
      <c r="N28" s="830"/>
      <c r="P28" s="23"/>
      <c r="Q28" s="92"/>
      <c r="R28" s="92"/>
      <c r="S28" s="92"/>
      <c r="T28" s="94"/>
      <c r="U28" s="93"/>
      <c r="V28" s="92"/>
      <c r="Z28" s="89"/>
    </row>
    <row r="29" spans="1:26" ht="13.5" hidden="1" thickTop="1" x14ac:dyDescent="0.2">
      <c r="A29" s="106"/>
      <c r="B29" s="172" t="s">
        <v>311</v>
      </c>
      <c r="C29" s="171" t="s">
        <v>310</v>
      </c>
      <c r="D29" s="156" t="s">
        <v>310</v>
      </c>
      <c r="E29" s="155" t="s">
        <v>309</v>
      </c>
      <c r="F29" s="154" t="s">
        <v>308</v>
      </c>
      <c r="G29" s="153" t="s">
        <v>308</v>
      </c>
      <c r="H29" s="156" t="s">
        <v>310</v>
      </c>
      <c r="I29" s="155" t="s">
        <v>309</v>
      </c>
      <c r="J29" s="154" t="s">
        <v>308</v>
      </c>
      <c r="K29" s="153" t="s">
        <v>308</v>
      </c>
      <c r="L29" s="163" t="s">
        <v>308</v>
      </c>
      <c r="M29" s="162" t="s">
        <v>308</v>
      </c>
      <c r="N29" s="161" t="s">
        <v>308</v>
      </c>
      <c r="P29" s="23"/>
      <c r="Q29" s="92"/>
      <c r="R29" s="92"/>
      <c r="S29" s="92"/>
      <c r="T29" s="94"/>
      <c r="U29" s="93"/>
      <c r="V29" s="92"/>
      <c r="Z29" s="89"/>
    </row>
    <row r="30" spans="1:26" ht="13.5" hidden="1" thickTop="1" x14ac:dyDescent="0.2">
      <c r="A30" s="118"/>
      <c r="B30" s="159" t="s">
        <v>22</v>
      </c>
      <c r="C30" s="146" t="s">
        <v>307</v>
      </c>
      <c r="D30" s="143" t="s">
        <v>306</v>
      </c>
      <c r="E30" s="142"/>
      <c r="F30" s="141" t="s">
        <v>305</v>
      </c>
      <c r="G30" s="140" t="s">
        <v>304</v>
      </c>
      <c r="H30" s="143" t="s">
        <v>306</v>
      </c>
      <c r="I30" s="142"/>
      <c r="J30" s="141" t="s">
        <v>305</v>
      </c>
      <c r="K30" s="140" t="s">
        <v>304</v>
      </c>
      <c r="L30" s="105" t="s">
        <v>303</v>
      </c>
      <c r="M30" s="170" t="s">
        <v>302</v>
      </c>
      <c r="N30" s="138" t="s">
        <v>301</v>
      </c>
      <c r="Q30" s="89"/>
      <c r="R30" s="89"/>
      <c r="S30" s="89"/>
      <c r="T30" s="90"/>
      <c r="V30" s="89"/>
      <c r="W30" s="89"/>
      <c r="X30" s="89"/>
    </row>
    <row r="31" spans="1:26" ht="14.25" hidden="1" thickTop="1" thickBot="1" x14ac:dyDescent="0.25">
      <c r="A31" s="118"/>
      <c r="B31" s="169" t="s">
        <v>300</v>
      </c>
      <c r="C31" s="168" t="s">
        <v>266</v>
      </c>
      <c r="D31" s="134" t="s">
        <v>266</v>
      </c>
      <c r="E31" s="133" t="s">
        <v>299</v>
      </c>
      <c r="F31" s="132" t="s">
        <v>298</v>
      </c>
      <c r="G31" s="131" t="s">
        <v>297</v>
      </c>
      <c r="H31" s="134" t="s">
        <v>266</v>
      </c>
      <c r="I31" s="133" t="s">
        <v>299</v>
      </c>
      <c r="J31" s="132" t="s">
        <v>298</v>
      </c>
      <c r="K31" s="131" t="s">
        <v>297</v>
      </c>
      <c r="L31" s="167" t="s">
        <v>296</v>
      </c>
      <c r="M31" s="129" t="s">
        <v>296</v>
      </c>
      <c r="N31" s="166" t="s">
        <v>296</v>
      </c>
      <c r="Q31" s="89"/>
      <c r="R31" s="89"/>
      <c r="S31" s="89"/>
      <c r="T31" s="160"/>
      <c r="U31" s="89"/>
      <c r="V31" s="89"/>
      <c r="W31" s="89"/>
      <c r="X31" s="89"/>
      <c r="Y31" s="89"/>
      <c r="Z31" s="89"/>
    </row>
    <row r="32" spans="1:26" ht="13.5" hidden="1" thickTop="1" x14ac:dyDescent="0.2">
      <c r="A32" s="106"/>
      <c r="B32" s="165">
        <v>15</v>
      </c>
      <c r="C32" s="164" t="s">
        <v>289</v>
      </c>
      <c r="D32" s="156">
        <f>VLOOKUP($D$5,$B$46:$I$89,1)</f>
        <v>936</v>
      </c>
      <c r="E32" s="142">
        <f>VLOOKUP($D$5,$B$46:$I$89,2)</f>
        <v>21</v>
      </c>
      <c r="F32" s="154" t="str">
        <f>VLOOKUP($D$5,$B$46:$I$89,3)</f>
        <v>50-11750</v>
      </c>
      <c r="G32" s="153" t="str">
        <f>VLOOKUP($D$5,$B$46:$I$89,4)</f>
        <v>49-11750</v>
      </c>
      <c r="H32" s="156">
        <f>VLOOKUP($D$5,$B$46:$I$89,5)</f>
        <v>1020</v>
      </c>
      <c r="I32" s="155">
        <f>VLOOKUP($D$5,$B$46:$I$89,6)</f>
        <v>22</v>
      </c>
      <c r="J32" s="154" t="str">
        <f>VLOOKUP($D$5,$B$46:$I$89,7)</f>
        <v>50-20700</v>
      </c>
      <c r="K32" s="153" t="str">
        <f>VLOOKUP($D$5,$B$46:$I$89,8)</f>
        <v>49-20700</v>
      </c>
      <c r="L32" s="163" t="s">
        <v>295</v>
      </c>
      <c r="M32" s="162" t="s">
        <v>294</v>
      </c>
      <c r="N32" s="161" t="s">
        <v>293</v>
      </c>
      <c r="Q32" s="89"/>
      <c r="R32" s="89"/>
      <c r="S32" s="89"/>
      <c r="T32" s="160"/>
      <c r="U32" s="89"/>
      <c r="V32" s="89"/>
      <c r="W32" s="89"/>
      <c r="X32" s="89"/>
      <c r="Y32" s="89"/>
      <c r="Z32" s="89"/>
    </row>
    <row r="33" spans="1:26" ht="13.5" hidden="1" thickTop="1" x14ac:dyDescent="0.2">
      <c r="A33" s="106"/>
      <c r="B33" s="159">
        <v>20</v>
      </c>
      <c r="C33" s="158" t="s">
        <v>289</v>
      </c>
      <c r="D33" s="156">
        <f>VLOOKUP($D$5,$B$46:$I$89,1)</f>
        <v>936</v>
      </c>
      <c r="E33" s="142">
        <f>VLOOKUP($D$5,$B$46:$I$89,2)</f>
        <v>21</v>
      </c>
      <c r="F33" s="154" t="str">
        <f>VLOOKUP($D$5,$B$46:$I$89,3)</f>
        <v>50-11750</v>
      </c>
      <c r="G33" s="153" t="str">
        <f>VLOOKUP($D$5,$B$46:$I$89,4)</f>
        <v>49-11750</v>
      </c>
      <c r="H33" s="156">
        <f>VLOOKUP($D$5,$B$46:$I$89,5)</f>
        <v>1020</v>
      </c>
      <c r="I33" s="155">
        <f>VLOOKUP($D$5,$B$46:$I$89,6)</f>
        <v>22</v>
      </c>
      <c r="J33" s="154" t="str">
        <f>VLOOKUP($D$5,$B$46:$I$89,7)</f>
        <v>50-20700</v>
      </c>
      <c r="K33" s="153" t="str">
        <f>VLOOKUP($D$5,$B$46:$I$89,8)</f>
        <v>49-20700</v>
      </c>
      <c r="L33" s="105" t="s">
        <v>292</v>
      </c>
      <c r="M33" s="139" t="s">
        <v>291</v>
      </c>
      <c r="N33" s="138" t="s">
        <v>290</v>
      </c>
      <c r="T33" s="90"/>
      <c r="V33" s="89"/>
      <c r="W33" s="89"/>
      <c r="X33" s="89"/>
      <c r="Y33" s="89"/>
      <c r="Z33" s="89"/>
    </row>
    <row r="34" spans="1:26" ht="13.5" hidden="1" thickTop="1" x14ac:dyDescent="0.2">
      <c r="A34" s="118"/>
      <c r="B34" s="145">
        <v>25</v>
      </c>
      <c r="C34" s="157" t="s">
        <v>289</v>
      </c>
      <c r="D34" s="156">
        <f>VLOOKUP($D$5,$B$46:$I$89,1)</f>
        <v>936</v>
      </c>
      <c r="E34" s="142">
        <f>VLOOKUP($D$5,$B$46:$I$89,2)</f>
        <v>21</v>
      </c>
      <c r="F34" s="154" t="str">
        <f>VLOOKUP($D$5,$B$46:$I$89,3)</f>
        <v>50-11750</v>
      </c>
      <c r="G34" s="153" t="str">
        <f>VLOOKUP($D$5,$B$46:$I$89,4)</f>
        <v>49-11750</v>
      </c>
      <c r="H34" s="156">
        <f>VLOOKUP($D$5,$B$46:$I$89,5)</f>
        <v>1020</v>
      </c>
      <c r="I34" s="155">
        <f>VLOOKUP($D$5,$B$46:$I$89,6)</f>
        <v>22</v>
      </c>
      <c r="J34" s="154" t="str">
        <f>VLOOKUP($D$5,$B$46:$I$89,7)</f>
        <v>50-20700</v>
      </c>
      <c r="K34" s="153" t="str">
        <f>VLOOKUP($D$5,$B$46:$I$89,8)</f>
        <v>49-20700</v>
      </c>
      <c r="L34" s="105" t="s">
        <v>288</v>
      </c>
      <c r="M34" s="139" t="s">
        <v>287</v>
      </c>
      <c r="N34" s="138" t="s">
        <v>286</v>
      </c>
      <c r="T34" s="90"/>
    </row>
    <row r="35" spans="1:26" ht="13.9" hidden="1" customHeight="1" x14ac:dyDescent="0.2">
      <c r="A35" s="118"/>
      <c r="B35" s="147"/>
      <c r="C35" s="146"/>
      <c r="D35" s="151"/>
      <c r="E35" s="150"/>
      <c r="F35" s="152"/>
      <c r="G35" s="148"/>
      <c r="H35" s="151"/>
      <c r="I35" s="150"/>
      <c r="J35" s="149"/>
      <c r="K35" s="148"/>
      <c r="L35" s="105"/>
      <c r="M35" s="139"/>
      <c r="N35" s="138"/>
      <c r="R35" s="86"/>
      <c r="T35" s="90"/>
      <c r="Z35" s="85"/>
    </row>
    <row r="36" spans="1:26" ht="13.9" hidden="1" customHeight="1" x14ac:dyDescent="0.2">
      <c r="A36" s="118"/>
      <c r="B36" s="145" t="s">
        <v>285</v>
      </c>
      <c r="C36" s="144" t="s">
        <v>275</v>
      </c>
      <c r="D36" s="143">
        <f>VLOOKUP($D$5,$J$46:$Q$89,1)</f>
        <v>861</v>
      </c>
      <c r="E36" s="142">
        <f>VLOOKUP($D$5,$J$46:$Q$89,2)</f>
        <v>12</v>
      </c>
      <c r="F36" s="141" t="str">
        <f>VLOOKUP($D$5,$J$46:$Q$89,3)</f>
        <v>50-33082</v>
      </c>
      <c r="G36" s="140" t="str">
        <f>VLOOKUP($D$5,$J$46:$Q$89,4)</f>
        <v>49-33082</v>
      </c>
      <c r="H36" s="143">
        <f>VLOOKUP($D$5,$J$46:$Q$89,5)</f>
        <v>1020</v>
      </c>
      <c r="I36" s="142">
        <f>VLOOKUP($D$5,$J$46:$Q$89,6)</f>
        <v>12</v>
      </c>
      <c r="J36" s="141" t="str">
        <f>VLOOKUP($D$5,$J$46:$Q$89,7)</f>
        <v>50-33089</v>
      </c>
      <c r="K36" s="140" t="str">
        <f>VLOOKUP($D$5,$J$46:$Q$89,8)</f>
        <v>49-33089</v>
      </c>
      <c r="L36" s="105" t="s">
        <v>284</v>
      </c>
      <c r="M36" s="139" t="s">
        <v>283</v>
      </c>
      <c r="N36" s="138" t="s">
        <v>282</v>
      </c>
      <c r="T36" s="90"/>
    </row>
    <row r="37" spans="1:26" ht="13.9" hidden="1" customHeight="1" x14ac:dyDescent="0.2">
      <c r="A37" s="118"/>
      <c r="B37" s="147">
        <v>32</v>
      </c>
      <c r="C37" s="146" t="s">
        <v>275</v>
      </c>
      <c r="D37" s="143">
        <f>VLOOKUP($D$5,$J$46:$Q$89,1)</f>
        <v>861</v>
      </c>
      <c r="E37" s="142">
        <f>VLOOKUP($D$5,$J$46:$Q$89,2)</f>
        <v>12</v>
      </c>
      <c r="F37" s="141" t="str">
        <f>VLOOKUP($D$5,$J$46:$Q$89,3)</f>
        <v>50-33082</v>
      </c>
      <c r="G37" s="140" t="str">
        <f>VLOOKUP($D$5,$J$46:$Q$89,4)</f>
        <v>49-33082</v>
      </c>
      <c r="H37" s="143">
        <f>VLOOKUP($D$5,$J$46:$Q$89,5)</f>
        <v>1020</v>
      </c>
      <c r="I37" s="142">
        <f>VLOOKUP($D$5,$J$46:$Q$89,6)</f>
        <v>12</v>
      </c>
      <c r="J37" s="141" t="str">
        <f>VLOOKUP($D$5,$J$46:$Q$89,7)</f>
        <v>50-33089</v>
      </c>
      <c r="K37" s="140" t="str">
        <f>VLOOKUP($D$5,$J$46:$Q$89,8)</f>
        <v>49-33089</v>
      </c>
      <c r="L37" s="105" t="s">
        <v>281</v>
      </c>
      <c r="M37" s="139" t="s">
        <v>280</v>
      </c>
      <c r="N37" s="138" t="s">
        <v>279</v>
      </c>
      <c r="R37" s="86"/>
      <c r="T37" s="90"/>
    </row>
    <row r="38" spans="1:26" ht="13.9" hidden="1" customHeight="1" x14ac:dyDescent="0.2">
      <c r="A38" s="118"/>
      <c r="B38" s="145">
        <v>40</v>
      </c>
      <c r="C38" s="144" t="s">
        <v>275</v>
      </c>
      <c r="D38" s="143">
        <f>VLOOKUP($D$5,$J$46:$Q$89,1)</f>
        <v>861</v>
      </c>
      <c r="E38" s="142">
        <f>VLOOKUP($D$5,$J$46:$Q$89,2)</f>
        <v>12</v>
      </c>
      <c r="F38" s="141" t="str">
        <f>VLOOKUP($D$5,$J$46:$Q$89,3)</f>
        <v>50-33082</v>
      </c>
      <c r="G38" s="140" t="str">
        <f>VLOOKUP($D$5,$J$46:$Q$89,4)</f>
        <v>49-33082</v>
      </c>
      <c r="H38" s="143">
        <f>VLOOKUP($D$5,$J$46:$Q$89,5)</f>
        <v>1020</v>
      </c>
      <c r="I38" s="142">
        <f>VLOOKUP($D$5,$J$46:$Q$89,6)</f>
        <v>12</v>
      </c>
      <c r="J38" s="141" t="str">
        <f>VLOOKUP($D$5,$J$46:$Q$89,7)</f>
        <v>50-33089</v>
      </c>
      <c r="K38" s="140" t="str">
        <f>VLOOKUP($D$5,$J$46:$Q$89,8)</f>
        <v>49-33089</v>
      </c>
      <c r="L38" s="105" t="s">
        <v>278</v>
      </c>
      <c r="M38" s="139" t="s">
        <v>277</v>
      </c>
      <c r="N38" s="138" t="s">
        <v>276</v>
      </c>
      <c r="T38" s="90"/>
    </row>
    <row r="39" spans="1:26" ht="13.9" hidden="1" customHeight="1" thickBot="1" x14ac:dyDescent="0.25">
      <c r="A39" s="137"/>
      <c r="B39" s="136">
        <v>50</v>
      </c>
      <c r="C39" s="135" t="s">
        <v>275</v>
      </c>
      <c r="D39" s="134">
        <f>VLOOKUP($D$5,$J$46:$Q$89,1)</f>
        <v>861</v>
      </c>
      <c r="E39" s="133">
        <f>VLOOKUP($D$5,$J$46:$Q$89,2)</f>
        <v>12</v>
      </c>
      <c r="F39" s="132" t="str">
        <f>VLOOKUP($D$5,$J$46:$Q$89,3)</f>
        <v>50-33082</v>
      </c>
      <c r="G39" s="131" t="str">
        <f>VLOOKUP($D$5,$J$46:$Q$89,4)</f>
        <v>49-33082</v>
      </c>
      <c r="H39" s="134">
        <f>VLOOKUP($D$5,$J$46:$Q$89,5)</f>
        <v>1020</v>
      </c>
      <c r="I39" s="133">
        <f>VLOOKUP($D$5,$J$46:$Q$89,6)</f>
        <v>12</v>
      </c>
      <c r="J39" s="132" t="str">
        <f>VLOOKUP($D$5,$J$46:$Q$89,7)</f>
        <v>50-33089</v>
      </c>
      <c r="K39" s="131" t="str">
        <f>VLOOKUP($D$5,$J$46:$Q$89,8)</f>
        <v>49-33089</v>
      </c>
      <c r="L39" s="130" t="s">
        <v>274</v>
      </c>
      <c r="M39" s="129" t="s">
        <v>273</v>
      </c>
      <c r="N39" s="128" t="s">
        <v>272</v>
      </c>
      <c r="O39" s="88"/>
      <c r="P39" s="88"/>
      <c r="Q39" s="88"/>
      <c r="R39" s="88"/>
      <c r="S39" s="88"/>
      <c r="T39" s="87"/>
    </row>
    <row r="40" spans="1:26" ht="28.15" hidden="1" customHeight="1" x14ac:dyDescent="0.2">
      <c r="A40" s="11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R40" s="85"/>
      <c r="T40" s="90"/>
    </row>
    <row r="41" spans="1:26" ht="28.15" hidden="1" customHeight="1" thickBot="1" x14ac:dyDescent="0.25">
      <c r="A41" s="118"/>
      <c r="B41" s="92"/>
      <c r="C41" s="17"/>
      <c r="D41" s="92"/>
      <c r="E41" s="23"/>
      <c r="F41" s="23"/>
      <c r="G41" s="23"/>
      <c r="H41" s="23"/>
      <c r="I41" s="92"/>
      <c r="J41" s="23"/>
      <c r="K41" s="23"/>
      <c r="R41" s="85"/>
      <c r="T41" s="90"/>
    </row>
    <row r="42" spans="1:26" ht="28.15" hidden="1" customHeight="1" thickBot="1" x14ac:dyDescent="0.25">
      <c r="A42" s="106"/>
      <c r="B42" s="831" t="s">
        <v>271</v>
      </c>
      <c r="C42" s="831"/>
      <c r="D42" s="831"/>
      <c r="E42" s="831"/>
      <c r="F42" s="831"/>
      <c r="G42" s="831"/>
      <c r="H42" s="831"/>
      <c r="I42" s="832"/>
      <c r="J42" s="832" t="s">
        <v>270</v>
      </c>
      <c r="K42" s="833"/>
      <c r="L42" s="833"/>
      <c r="M42" s="833"/>
      <c r="N42" s="833"/>
      <c r="O42" s="833"/>
      <c r="P42" s="833"/>
      <c r="Q42" s="834"/>
      <c r="R42" s="85" t="s">
        <v>269</v>
      </c>
      <c r="T42" s="90"/>
    </row>
    <row r="43" spans="1:26" ht="28.15" hidden="1" customHeight="1" x14ac:dyDescent="0.2">
      <c r="A43" s="106"/>
      <c r="B43" s="795" t="s">
        <v>268</v>
      </c>
      <c r="C43" s="751"/>
      <c r="D43" s="751"/>
      <c r="E43" s="751"/>
      <c r="F43" s="751" t="s">
        <v>267</v>
      </c>
      <c r="G43" s="751"/>
      <c r="H43" s="751"/>
      <c r="I43" s="813"/>
      <c r="J43" s="814" t="s">
        <v>268</v>
      </c>
      <c r="K43" s="805"/>
      <c r="L43" s="805"/>
      <c r="M43" s="805"/>
      <c r="N43" s="815" t="s">
        <v>267</v>
      </c>
      <c r="O43" s="816"/>
      <c r="P43" s="816"/>
      <c r="Q43" s="817"/>
      <c r="T43" s="90"/>
    </row>
    <row r="44" spans="1:26" ht="28.15" hidden="1" customHeight="1" x14ac:dyDescent="0.2">
      <c r="A44" s="106"/>
      <c r="B44" s="122" t="s">
        <v>266</v>
      </c>
      <c r="C44" s="2" t="s">
        <v>4</v>
      </c>
      <c r="D44" s="820" t="s">
        <v>265</v>
      </c>
      <c r="E44" s="820"/>
      <c r="F44" s="2" t="s">
        <v>266</v>
      </c>
      <c r="G44" s="2" t="s">
        <v>4</v>
      </c>
      <c r="H44" s="820" t="s">
        <v>265</v>
      </c>
      <c r="I44" s="821"/>
      <c r="J44" s="122" t="s">
        <v>266</v>
      </c>
      <c r="K44" s="2" t="s">
        <v>4</v>
      </c>
      <c r="L44" s="820" t="s">
        <v>265</v>
      </c>
      <c r="M44" s="820"/>
      <c r="N44" s="126" t="s">
        <v>266</v>
      </c>
      <c r="O44" s="126" t="s">
        <v>4</v>
      </c>
      <c r="P44" s="822" t="s">
        <v>265</v>
      </c>
      <c r="Q44" s="822"/>
      <c r="R44" s="85" t="s">
        <v>264</v>
      </c>
      <c r="T44" s="90"/>
    </row>
    <row r="45" spans="1:26" ht="28.15" hidden="1" customHeight="1" x14ac:dyDescent="0.2">
      <c r="A45" s="106"/>
      <c r="B45" s="122"/>
      <c r="C45" s="2" t="s">
        <v>263</v>
      </c>
      <c r="D45" s="2" t="s">
        <v>262</v>
      </c>
      <c r="E45" s="2" t="s">
        <v>261</v>
      </c>
      <c r="F45" s="2"/>
      <c r="G45" s="2" t="s">
        <v>263</v>
      </c>
      <c r="H45" s="2" t="s">
        <v>262</v>
      </c>
      <c r="I45" s="125" t="s">
        <v>261</v>
      </c>
      <c r="J45" s="122"/>
      <c r="K45" s="2" t="s">
        <v>263</v>
      </c>
      <c r="L45" s="2" t="s">
        <v>262</v>
      </c>
      <c r="M45" s="2" t="s">
        <v>261</v>
      </c>
      <c r="N45" s="2"/>
      <c r="O45" s="2" t="s">
        <v>263</v>
      </c>
      <c r="P45" s="2" t="s">
        <v>262</v>
      </c>
      <c r="Q45" s="2" t="s">
        <v>261</v>
      </c>
      <c r="T45" s="90"/>
    </row>
    <row r="46" spans="1:26" ht="28.15" hidden="1" customHeight="1" x14ac:dyDescent="0.2">
      <c r="A46" s="106"/>
      <c r="B46" s="122">
        <v>0</v>
      </c>
      <c r="C46" s="124"/>
      <c r="D46" s="124"/>
      <c r="E46" s="124"/>
      <c r="F46" s="2">
        <v>25</v>
      </c>
      <c r="G46" s="2">
        <v>7</v>
      </c>
      <c r="H46" s="3" t="s">
        <v>260</v>
      </c>
      <c r="I46" s="123" t="s">
        <v>253</v>
      </c>
      <c r="J46" s="114">
        <v>0</v>
      </c>
      <c r="K46" s="3"/>
      <c r="L46" s="3"/>
      <c r="M46" s="3"/>
      <c r="N46" s="3">
        <v>674</v>
      </c>
      <c r="O46" s="3">
        <v>12</v>
      </c>
      <c r="P46" s="3" t="s">
        <v>259</v>
      </c>
      <c r="Q46" s="3" t="s">
        <v>258</v>
      </c>
      <c r="T46" s="90"/>
    </row>
    <row r="47" spans="1:26" ht="28.15" hidden="1" customHeight="1" x14ac:dyDescent="0.2">
      <c r="A47" s="106"/>
      <c r="B47" s="122">
        <v>25</v>
      </c>
      <c r="C47" s="2">
        <v>7</v>
      </c>
      <c r="D47" s="3" t="s">
        <v>260</v>
      </c>
      <c r="E47" s="39" t="s">
        <v>253</v>
      </c>
      <c r="F47" s="2">
        <v>36</v>
      </c>
      <c r="G47" s="2">
        <v>7</v>
      </c>
      <c r="H47" s="3" t="s">
        <v>257</v>
      </c>
      <c r="I47" s="123" t="s">
        <v>253</v>
      </c>
      <c r="J47" s="114">
        <v>674</v>
      </c>
      <c r="K47" s="3">
        <v>12</v>
      </c>
      <c r="L47" s="3" t="s">
        <v>259</v>
      </c>
      <c r="M47" s="3" t="s">
        <v>258</v>
      </c>
      <c r="N47" s="3">
        <v>861</v>
      </c>
      <c r="O47" s="3">
        <v>12</v>
      </c>
      <c r="P47" s="3" t="s">
        <v>256</v>
      </c>
      <c r="Q47" s="3" t="s">
        <v>255</v>
      </c>
      <c r="T47" s="90"/>
    </row>
    <row r="48" spans="1:26" ht="28.15" hidden="1" customHeight="1" x14ac:dyDescent="0.2">
      <c r="A48" s="106"/>
      <c r="B48" s="122">
        <v>36</v>
      </c>
      <c r="C48" s="2">
        <v>7</v>
      </c>
      <c r="D48" s="3" t="s">
        <v>257</v>
      </c>
      <c r="E48" s="39" t="s">
        <v>253</v>
      </c>
      <c r="F48" s="2">
        <v>43</v>
      </c>
      <c r="G48" s="2">
        <v>7</v>
      </c>
      <c r="H48" s="3" t="s">
        <v>254</v>
      </c>
      <c r="I48" s="123" t="s">
        <v>253</v>
      </c>
      <c r="J48" s="114">
        <v>861</v>
      </c>
      <c r="K48" s="3">
        <v>12</v>
      </c>
      <c r="L48" s="3" t="s">
        <v>256</v>
      </c>
      <c r="M48" s="3" t="s">
        <v>255</v>
      </c>
      <c r="N48" s="3">
        <v>1020</v>
      </c>
      <c r="O48" s="3">
        <v>12</v>
      </c>
      <c r="P48" s="3" t="s">
        <v>252</v>
      </c>
      <c r="Q48" s="3" t="s">
        <v>251</v>
      </c>
      <c r="T48" s="90"/>
    </row>
    <row r="49" spans="1:20" ht="28.15" hidden="1" customHeight="1" x14ac:dyDescent="0.2">
      <c r="A49" s="106"/>
      <c r="B49" s="122">
        <v>43</v>
      </c>
      <c r="C49" s="2">
        <v>7</v>
      </c>
      <c r="D49" s="3" t="s">
        <v>254</v>
      </c>
      <c r="E49" s="39" t="s">
        <v>253</v>
      </c>
      <c r="F49" s="2">
        <v>55</v>
      </c>
      <c r="G49" s="2">
        <v>7</v>
      </c>
      <c r="H49" s="3" t="s">
        <v>250</v>
      </c>
      <c r="I49" s="115" t="s">
        <v>249</v>
      </c>
      <c r="J49" s="114">
        <v>1020</v>
      </c>
      <c r="K49" s="3">
        <v>12</v>
      </c>
      <c r="L49" s="3" t="s">
        <v>252</v>
      </c>
      <c r="M49" s="3" t="s">
        <v>251</v>
      </c>
      <c r="N49" s="3">
        <v>1136</v>
      </c>
      <c r="O49" s="3">
        <v>12</v>
      </c>
      <c r="P49" s="3" t="s">
        <v>248</v>
      </c>
      <c r="Q49" s="3" t="s">
        <v>247</v>
      </c>
      <c r="T49" s="90"/>
    </row>
    <row r="50" spans="1:20" ht="28.15" hidden="1" customHeight="1" x14ac:dyDescent="0.2">
      <c r="A50" s="106"/>
      <c r="B50" s="122">
        <v>55</v>
      </c>
      <c r="C50" s="2">
        <v>7</v>
      </c>
      <c r="D50" s="3" t="s">
        <v>250</v>
      </c>
      <c r="E50" s="3" t="s">
        <v>249</v>
      </c>
      <c r="F50" s="2">
        <v>75</v>
      </c>
      <c r="G50" s="2">
        <v>8</v>
      </c>
      <c r="H50" s="3" t="s">
        <v>246</v>
      </c>
      <c r="I50" s="115" t="s">
        <v>245</v>
      </c>
      <c r="J50" s="114">
        <v>1136</v>
      </c>
      <c r="K50" s="3">
        <v>12</v>
      </c>
      <c r="L50" s="3" t="s">
        <v>248</v>
      </c>
      <c r="M50" s="3" t="s">
        <v>247</v>
      </c>
      <c r="N50" s="3">
        <v>1190</v>
      </c>
      <c r="O50" s="3">
        <v>12</v>
      </c>
      <c r="P50" s="3" t="s">
        <v>244</v>
      </c>
      <c r="Q50" s="3" t="s">
        <v>243</v>
      </c>
      <c r="T50" s="90"/>
    </row>
    <row r="51" spans="1:20" ht="28.15" hidden="1" customHeight="1" x14ac:dyDescent="0.2">
      <c r="A51" s="106"/>
      <c r="B51" s="122">
        <v>75</v>
      </c>
      <c r="C51" s="2">
        <v>8</v>
      </c>
      <c r="D51" s="3" t="s">
        <v>246</v>
      </c>
      <c r="E51" s="3" t="s">
        <v>245</v>
      </c>
      <c r="F51" s="2">
        <v>84</v>
      </c>
      <c r="G51" s="2">
        <v>9</v>
      </c>
      <c r="H51" s="3" t="s">
        <v>242</v>
      </c>
      <c r="I51" s="115" t="s">
        <v>241</v>
      </c>
      <c r="J51" s="114">
        <v>1190</v>
      </c>
      <c r="K51" s="3">
        <v>12</v>
      </c>
      <c r="L51" s="3" t="s">
        <v>244</v>
      </c>
      <c r="M51" s="3" t="s">
        <v>243</v>
      </c>
      <c r="N51" s="3">
        <v>1272</v>
      </c>
      <c r="O51" s="3">
        <v>13</v>
      </c>
      <c r="P51" s="3" t="s">
        <v>240</v>
      </c>
      <c r="Q51" s="3" t="s">
        <v>239</v>
      </c>
      <c r="T51" s="90"/>
    </row>
    <row r="52" spans="1:20" ht="28.15" hidden="1" customHeight="1" x14ac:dyDescent="0.2">
      <c r="A52" s="106"/>
      <c r="B52" s="122">
        <v>84</v>
      </c>
      <c r="C52" s="2">
        <v>9</v>
      </c>
      <c r="D52" s="3" t="s">
        <v>242</v>
      </c>
      <c r="E52" s="3" t="s">
        <v>241</v>
      </c>
      <c r="F52" s="2">
        <v>104</v>
      </c>
      <c r="G52" s="2">
        <v>10</v>
      </c>
      <c r="H52" s="3" t="s">
        <v>238</v>
      </c>
      <c r="I52" s="115" t="s">
        <v>237</v>
      </c>
      <c r="J52" s="114">
        <v>1272</v>
      </c>
      <c r="K52" s="3">
        <v>13</v>
      </c>
      <c r="L52" s="3" t="s">
        <v>240</v>
      </c>
      <c r="M52" s="3" t="s">
        <v>239</v>
      </c>
      <c r="N52" s="3">
        <v>1349</v>
      </c>
      <c r="O52" s="3">
        <v>13</v>
      </c>
      <c r="P52" s="3" t="s">
        <v>236</v>
      </c>
      <c r="Q52" s="3" t="s">
        <v>235</v>
      </c>
      <c r="T52" s="90"/>
    </row>
    <row r="53" spans="1:20" ht="28.15" hidden="1" customHeight="1" x14ac:dyDescent="0.2">
      <c r="A53" s="106"/>
      <c r="B53" s="122">
        <v>104</v>
      </c>
      <c r="C53" s="2">
        <v>10</v>
      </c>
      <c r="D53" s="3" t="s">
        <v>238</v>
      </c>
      <c r="E53" s="3" t="s">
        <v>237</v>
      </c>
      <c r="F53" s="2">
        <v>114</v>
      </c>
      <c r="G53" s="2">
        <v>10</v>
      </c>
      <c r="H53" s="3" t="s">
        <v>234</v>
      </c>
      <c r="I53" s="115" t="s">
        <v>233</v>
      </c>
      <c r="J53" s="114">
        <v>1349</v>
      </c>
      <c r="K53" s="3">
        <v>13</v>
      </c>
      <c r="L53" s="3" t="s">
        <v>236</v>
      </c>
      <c r="M53" s="3" t="s">
        <v>235</v>
      </c>
      <c r="N53" s="3">
        <v>1485</v>
      </c>
      <c r="O53" s="3">
        <v>13</v>
      </c>
      <c r="P53" s="3" t="s">
        <v>232</v>
      </c>
      <c r="Q53" s="3" t="s">
        <v>231</v>
      </c>
      <c r="T53" s="90"/>
    </row>
    <row r="54" spans="1:20" ht="28.15" hidden="1" customHeight="1" x14ac:dyDescent="0.2">
      <c r="A54" s="106"/>
      <c r="B54" s="122">
        <v>114</v>
      </c>
      <c r="C54" s="2">
        <v>10</v>
      </c>
      <c r="D54" s="3" t="s">
        <v>234</v>
      </c>
      <c r="E54" s="3" t="s">
        <v>233</v>
      </c>
      <c r="F54" s="2">
        <v>129</v>
      </c>
      <c r="G54" s="2">
        <v>11</v>
      </c>
      <c r="H54" s="3" t="s">
        <v>230</v>
      </c>
      <c r="I54" s="115" t="s">
        <v>229</v>
      </c>
      <c r="J54" s="114">
        <v>1485</v>
      </c>
      <c r="K54" s="3">
        <v>13</v>
      </c>
      <c r="L54" s="3" t="s">
        <v>232</v>
      </c>
      <c r="M54" s="3" t="s">
        <v>231</v>
      </c>
      <c r="N54" s="3">
        <v>1567</v>
      </c>
      <c r="O54" s="3">
        <v>14</v>
      </c>
      <c r="P54" s="3" t="s">
        <v>228</v>
      </c>
      <c r="Q54" s="3" t="s">
        <v>227</v>
      </c>
      <c r="T54" s="90"/>
    </row>
    <row r="55" spans="1:20" ht="28.15" hidden="1" customHeight="1" x14ac:dyDescent="0.2">
      <c r="A55" s="106"/>
      <c r="B55" s="122">
        <v>129</v>
      </c>
      <c r="C55" s="2">
        <v>11</v>
      </c>
      <c r="D55" s="3" t="s">
        <v>230</v>
      </c>
      <c r="E55" s="3" t="s">
        <v>229</v>
      </c>
      <c r="F55" s="2">
        <v>154</v>
      </c>
      <c r="G55" s="2">
        <v>11</v>
      </c>
      <c r="H55" s="3" t="s">
        <v>226</v>
      </c>
      <c r="I55" s="115" t="s">
        <v>225</v>
      </c>
      <c r="J55" s="114">
        <v>1567</v>
      </c>
      <c r="K55" s="3">
        <v>14</v>
      </c>
      <c r="L55" s="3" t="s">
        <v>228</v>
      </c>
      <c r="M55" s="3" t="s">
        <v>227</v>
      </c>
      <c r="N55" s="3">
        <v>1631</v>
      </c>
      <c r="O55" s="3">
        <v>14</v>
      </c>
      <c r="P55" s="3" t="s">
        <v>224</v>
      </c>
      <c r="Q55" s="3" t="s">
        <v>223</v>
      </c>
      <c r="T55" s="90"/>
    </row>
    <row r="56" spans="1:20" ht="28.15" hidden="1" customHeight="1" x14ac:dyDescent="0.2">
      <c r="A56" s="106"/>
      <c r="B56" s="122">
        <v>154</v>
      </c>
      <c r="C56" s="2">
        <v>11</v>
      </c>
      <c r="D56" s="3" t="s">
        <v>226</v>
      </c>
      <c r="E56" s="3" t="s">
        <v>225</v>
      </c>
      <c r="F56" s="39">
        <v>175</v>
      </c>
      <c r="G56" s="39">
        <v>12</v>
      </c>
      <c r="H56" s="3" t="s">
        <v>222</v>
      </c>
      <c r="I56" s="115" t="s">
        <v>221</v>
      </c>
      <c r="J56" s="114">
        <v>1631</v>
      </c>
      <c r="K56" s="3">
        <v>14</v>
      </c>
      <c r="L56" s="3" t="s">
        <v>224</v>
      </c>
      <c r="M56" s="3" t="s">
        <v>223</v>
      </c>
      <c r="N56" s="3">
        <v>1815</v>
      </c>
      <c r="O56" s="3">
        <v>14</v>
      </c>
      <c r="P56" s="3" t="s">
        <v>220</v>
      </c>
      <c r="Q56" s="3" t="s">
        <v>219</v>
      </c>
      <c r="T56" s="90"/>
    </row>
    <row r="57" spans="1:20" ht="28.15" hidden="1" customHeight="1" x14ac:dyDescent="0.2">
      <c r="A57" s="119"/>
      <c r="B57" s="117">
        <v>175</v>
      </c>
      <c r="C57" s="39">
        <v>12</v>
      </c>
      <c r="D57" s="3" t="s">
        <v>222</v>
      </c>
      <c r="E57" s="3" t="s">
        <v>221</v>
      </c>
      <c r="F57" s="121">
        <v>204</v>
      </c>
      <c r="G57" s="39">
        <v>12</v>
      </c>
      <c r="H57" s="3" t="s">
        <v>218</v>
      </c>
      <c r="I57" s="115" t="s">
        <v>217</v>
      </c>
      <c r="J57" s="114">
        <v>1815</v>
      </c>
      <c r="K57" s="3">
        <v>14</v>
      </c>
      <c r="L57" s="3" t="s">
        <v>220</v>
      </c>
      <c r="M57" s="3" t="s">
        <v>219</v>
      </c>
      <c r="N57" s="3">
        <v>2001</v>
      </c>
      <c r="O57" s="3">
        <v>15</v>
      </c>
      <c r="P57" s="3" t="s">
        <v>216</v>
      </c>
      <c r="Q57" s="3" t="s">
        <v>215</v>
      </c>
      <c r="T57" s="90"/>
    </row>
    <row r="58" spans="1:20" ht="28.15" hidden="1" customHeight="1" x14ac:dyDescent="0.2">
      <c r="A58" s="119"/>
      <c r="B58" s="120">
        <v>204</v>
      </c>
      <c r="C58" s="39">
        <v>12</v>
      </c>
      <c r="D58" s="3" t="s">
        <v>218</v>
      </c>
      <c r="E58" s="3" t="s">
        <v>217</v>
      </c>
      <c r="F58" s="39">
        <v>241</v>
      </c>
      <c r="G58" s="39">
        <v>12</v>
      </c>
      <c r="H58" s="3" t="s">
        <v>214</v>
      </c>
      <c r="I58" s="115" t="s">
        <v>213</v>
      </c>
      <c r="J58" s="114">
        <v>2001</v>
      </c>
      <c r="K58" s="3">
        <v>15</v>
      </c>
      <c r="L58" s="3" t="s">
        <v>216</v>
      </c>
      <c r="M58" s="3" t="s">
        <v>215</v>
      </c>
      <c r="N58" s="3">
        <v>2044</v>
      </c>
      <c r="O58" s="3">
        <v>16</v>
      </c>
      <c r="P58" s="3" t="s">
        <v>212</v>
      </c>
      <c r="Q58" s="3" t="s">
        <v>211</v>
      </c>
      <c r="T58" s="90"/>
    </row>
    <row r="59" spans="1:20" ht="28.15" hidden="1" customHeight="1" x14ac:dyDescent="0.2">
      <c r="A59" s="119"/>
      <c r="B59" s="117">
        <v>241</v>
      </c>
      <c r="C59" s="39">
        <v>12</v>
      </c>
      <c r="D59" s="3" t="s">
        <v>214</v>
      </c>
      <c r="E59" s="3" t="s">
        <v>213</v>
      </c>
      <c r="F59" s="39">
        <v>279</v>
      </c>
      <c r="G59" s="39">
        <v>12</v>
      </c>
      <c r="H59" s="3" t="s">
        <v>210</v>
      </c>
      <c r="I59" s="115" t="s">
        <v>209</v>
      </c>
      <c r="J59" s="114">
        <v>2044</v>
      </c>
      <c r="K59" s="3">
        <v>16</v>
      </c>
      <c r="L59" s="3" t="s">
        <v>212</v>
      </c>
      <c r="M59" s="3" t="s">
        <v>211</v>
      </c>
      <c r="N59" s="3">
        <v>2171</v>
      </c>
      <c r="O59" s="3">
        <v>16</v>
      </c>
      <c r="P59" s="3" t="s">
        <v>208</v>
      </c>
      <c r="Q59" s="3" t="s">
        <v>207</v>
      </c>
      <c r="T59" s="90"/>
    </row>
    <row r="60" spans="1:20" ht="28.15" hidden="1" customHeight="1" x14ac:dyDescent="0.2">
      <c r="A60" s="118"/>
      <c r="B60" s="117">
        <v>279</v>
      </c>
      <c r="C60" s="39">
        <v>12</v>
      </c>
      <c r="D60" s="3" t="s">
        <v>210</v>
      </c>
      <c r="E60" s="3" t="s">
        <v>209</v>
      </c>
      <c r="F60" s="39">
        <v>320</v>
      </c>
      <c r="G60" s="39">
        <v>13</v>
      </c>
      <c r="H60" s="3" t="s">
        <v>206</v>
      </c>
      <c r="I60" s="115" t="s">
        <v>205</v>
      </c>
      <c r="J60" s="114">
        <v>2171</v>
      </c>
      <c r="K60" s="3">
        <v>16</v>
      </c>
      <c r="L60" s="3" t="s">
        <v>208</v>
      </c>
      <c r="M60" s="3" t="s">
        <v>207</v>
      </c>
      <c r="N60" s="3">
        <v>2271</v>
      </c>
      <c r="O60" s="3">
        <v>17</v>
      </c>
      <c r="P60" s="3" t="s">
        <v>204</v>
      </c>
      <c r="Q60" s="3" t="s">
        <v>203</v>
      </c>
      <c r="T60" s="90"/>
    </row>
    <row r="61" spans="1:20" ht="28.15" hidden="1" customHeight="1" x14ac:dyDescent="0.2">
      <c r="A61" s="106"/>
      <c r="B61" s="117">
        <v>320</v>
      </c>
      <c r="C61" s="39">
        <v>13</v>
      </c>
      <c r="D61" s="3" t="s">
        <v>206</v>
      </c>
      <c r="E61" s="3" t="s">
        <v>205</v>
      </c>
      <c r="F61" s="39">
        <v>350</v>
      </c>
      <c r="G61" s="39">
        <v>13</v>
      </c>
      <c r="H61" s="3" t="s">
        <v>202</v>
      </c>
      <c r="I61" s="115" t="s">
        <v>201</v>
      </c>
      <c r="J61" s="114">
        <v>2271</v>
      </c>
      <c r="K61" s="3">
        <v>17</v>
      </c>
      <c r="L61" s="3" t="s">
        <v>204</v>
      </c>
      <c r="M61" s="3" t="s">
        <v>203</v>
      </c>
      <c r="N61" s="3">
        <v>2380</v>
      </c>
      <c r="O61" s="3">
        <v>17</v>
      </c>
      <c r="P61" s="3" t="s">
        <v>200</v>
      </c>
      <c r="Q61" s="3" t="s">
        <v>199</v>
      </c>
      <c r="T61" s="90"/>
    </row>
    <row r="62" spans="1:20" ht="28.15" hidden="1" customHeight="1" x14ac:dyDescent="0.2">
      <c r="A62" s="106"/>
      <c r="B62" s="117">
        <v>350</v>
      </c>
      <c r="C62" s="39">
        <v>13</v>
      </c>
      <c r="D62" s="3" t="s">
        <v>202</v>
      </c>
      <c r="E62" s="3" t="s">
        <v>201</v>
      </c>
      <c r="F62" s="39">
        <v>400</v>
      </c>
      <c r="G62" s="39">
        <v>13</v>
      </c>
      <c r="H62" s="3" t="s">
        <v>198</v>
      </c>
      <c r="I62" s="115" t="s">
        <v>197</v>
      </c>
      <c r="J62" s="114">
        <v>2380</v>
      </c>
      <c r="K62" s="3">
        <v>17</v>
      </c>
      <c r="L62" s="3" t="s">
        <v>200</v>
      </c>
      <c r="M62" s="3" t="s">
        <v>199</v>
      </c>
      <c r="N62" s="3">
        <v>2498</v>
      </c>
      <c r="O62" s="3">
        <v>18</v>
      </c>
      <c r="P62" s="3" t="s">
        <v>196</v>
      </c>
      <c r="Q62" s="3" t="s">
        <v>195</v>
      </c>
      <c r="T62" s="90"/>
    </row>
    <row r="63" spans="1:20" ht="28.15" hidden="1" customHeight="1" x14ac:dyDescent="0.2">
      <c r="A63" s="106"/>
      <c r="B63" s="117">
        <v>400</v>
      </c>
      <c r="C63" s="39">
        <v>13</v>
      </c>
      <c r="D63" s="3" t="s">
        <v>198</v>
      </c>
      <c r="E63" s="3" t="s">
        <v>197</v>
      </c>
      <c r="F63" s="39">
        <v>477</v>
      </c>
      <c r="G63" s="39">
        <v>14</v>
      </c>
      <c r="H63" s="3" t="s">
        <v>194</v>
      </c>
      <c r="I63" s="115" t="s">
        <v>193</v>
      </c>
      <c r="J63" s="114">
        <v>2498</v>
      </c>
      <c r="K63" s="3">
        <v>18</v>
      </c>
      <c r="L63" s="3" t="s">
        <v>196</v>
      </c>
      <c r="M63" s="3" t="s">
        <v>195</v>
      </c>
      <c r="N63" s="3">
        <v>2639</v>
      </c>
      <c r="O63" s="3">
        <v>18</v>
      </c>
      <c r="P63" s="3" t="s">
        <v>192</v>
      </c>
      <c r="Q63" s="3" t="s">
        <v>191</v>
      </c>
      <c r="T63" s="90"/>
    </row>
    <row r="64" spans="1:20" ht="28.15" hidden="1" customHeight="1" x14ac:dyDescent="0.2">
      <c r="A64" s="106"/>
      <c r="B64" s="117">
        <v>477</v>
      </c>
      <c r="C64" s="39">
        <v>14</v>
      </c>
      <c r="D64" s="3" t="s">
        <v>194</v>
      </c>
      <c r="E64" s="3" t="s">
        <v>193</v>
      </c>
      <c r="F64" s="39">
        <v>545</v>
      </c>
      <c r="G64" s="39">
        <v>14</v>
      </c>
      <c r="H64" s="3" t="s">
        <v>190</v>
      </c>
      <c r="I64" s="115" t="s">
        <v>189</v>
      </c>
      <c r="J64" s="114">
        <v>2639</v>
      </c>
      <c r="K64" s="3">
        <v>18</v>
      </c>
      <c r="L64" s="3" t="s">
        <v>192</v>
      </c>
      <c r="M64" s="3" t="s">
        <v>191</v>
      </c>
      <c r="N64" s="3">
        <v>2871</v>
      </c>
      <c r="O64" s="3">
        <v>19</v>
      </c>
      <c r="P64" s="3" t="s">
        <v>188</v>
      </c>
      <c r="Q64" s="3" t="s">
        <v>187</v>
      </c>
      <c r="T64" s="90"/>
    </row>
    <row r="65" spans="1:20" ht="28.15" hidden="1" customHeight="1" x14ac:dyDescent="0.2">
      <c r="A65" s="106"/>
      <c r="B65" s="117">
        <v>545</v>
      </c>
      <c r="C65" s="39">
        <v>14</v>
      </c>
      <c r="D65" s="3" t="s">
        <v>190</v>
      </c>
      <c r="E65" s="3" t="s">
        <v>189</v>
      </c>
      <c r="F65" s="39">
        <v>615</v>
      </c>
      <c r="G65" s="39">
        <v>14</v>
      </c>
      <c r="H65" s="3" t="s">
        <v>186</v>
      </c>
      <c r="I65" s="115" t="s">
        <v>185</v>
      </c>
      <c r="J65" s="114">
        <v>2871</v>
      </c>
      <c r="K65" s="3">
        <v>19</v>
      </c>
      <c r="L65" s="3" t="s">
        <v>188</v>
      </c>
      <c r="M65" s="3" t="s">
        <v>187</v>
      </c>
      <c r="N65" s="3">
        <v>3191</v>
      </c>
      <c r="O65" s="3">
        <v>21</v>
      </c>
      <c r="P65" s="3" t="s">
        <v>184</v>
      </c>
      <c r="Q65" s="3" t="s">
        <v>183</v>
      </c>
      <c r="T65" s="90"/>
    </row>
    <row r="66" spans="1:20" ht="28.15" hidden="1" customHeight="1" x14ac:dyDescent="0.2">
      <c r="A66" s="106"/>
      <c r="B66" s="117">
        <v>615</v>
      </c>
      <c r="C66" s="39">
        <v>14</v>
      </c>
      <c r="D66" s="3" t="s">
        <v>186</v>
      </c>
      <c r="E66" s="3" t="s">
        <v>185</v>
      </c>
      <c r="F66" s="39">
        <v>670</v>
      </c>
      <c r="G66" s="39">
        <v>14</v>
      </c>
      <c r="H66" s="3" t="s">
        <v>182</v>
      </c>
      <c r="I66" s="115" t="s">
        <v>181</v>
      </c>
      <c r="J66" s="114">
        <v>3191</v>
      </c>
      <c r="K66" s="3">
        <v>21</v>
      </c>
      <c r="L66" s="3" t="s">
        <v>184</v>
      </c>
      <c r="M66" s="3" t="s">
        <v>183</v>
      </c>
      <c r="N66" s="3">
        <v>3407</v>
      </c>
      <c r="O66" s="3">
        <v>22</v>
      </c>
      <c r="P66" s="3" t="s">
        <v>180</v>
      </c>
      <c r="Q66" s="3" t="s">
        <v>179</v>
      </c>
      <c r="T66" s="90"/>
    </row>
    <row r="67" spans="1:20" ht="28.15" hidden="1" customHeight="1" x14ac:dyDescent="0.2">
      <c r="A67" s="106"/>
      <c r="B67" s="117">
        <v>670</v>
      </c>
      <c r="C67" s="39">
        <v>14</v>
      </c>
      <c r="D67" s="3" t="s">
        <v>182</v>
      </c>
      <c r="E67" s="3" t="s">
        <v>181</v>
      </c>
      <c r="F67" s="39">
        <v>736</v>
      </c>
      <c r="G67" s="39">
        <v>14</v>
      </c>
      <c r="H67" s="3" t="s">
        <v>178</v>
      </c>
      <c r="I67" s="115" t="s">
        <v>177</v>
      </c>
      <c r="J67" s="114">
        <v>3407</v>
      </c>
      <c r="K67" s="3">
        <v>22</v>
      </c>
      <c r="L67" s="3" t="s">
        <v>180</v>
      </c>
      <c r="M67" s="3" t="s">
        <v>179</v>
      </c>
      <c r="N67" s="3">
        <v>3486</v>
      </c>
      <c r="O67" s="3">
        <v>22</v>
      </c>
      <c r="P67" s="3" t="s">
        <v>176</v>
      </c>
      <c r="Q67" s="3" t="s">
        <v>175</v>
      </c>
      <c r="T67" s="90"/>
    </row>
    <row r="68" spans="1:20" ht="28.15" hidden="1" customHeight="1" x14ac:dyDescent="0.2">
      <c r="A68" s="106"/>
      <c r="B68" s="117">
        <v>736</v>
      </c>
      <c r="C68" s="39">
        <v>14</v>
      </c>
      <c r="D68" s="3" t="s">
        <v>178</v>
      </c>
      <c r="E68" s="3" t="s">
        <v>177</v>
      </c>
      <c r="F68" s="39">
        <v>799</v>
      </c>
      <c r="G68" s="39">
        <v>16</v>
      </c>
      <c r="H68" s="3" t="s">
        <v>174</v>
      </c>
      <c r="I68" s="115" t="s">
        <v>173</v>
      </c>
      <c r="J68" s="114">
        <v>3486</v>
      </c>
      <c r="K68" s="3">
        <v>22</v>
      </c>
      <c r="L68" s="3" t="s">
        <v>176</v>
      </c>
      <c r="M68" s="3" t="s">
        <v>175</v>
      </c>
      <c r="N68" s="3">
        <v>3634</v>
      </c>
      <c r="O68" s="3">
        <v>20</v>
      </c>
      <c r="P68" s="3" t="s">
        <v>172</v>
      </c>
      <c r="Q68" s="3" t="s">
        <v>171</v>
      </c>
      <c r="T68" s="90"/>
    </row>
    <row r="69" spans="1:20" ht="28.15" hidden="1" customHeight="1" x14ac:dyDescent="0.2">
      <c r="A69" s="106"/>
      <c r="B69" s="117">
        <v>799</v>
      </c>
      <c r="C69" s="39">
        <v>16</v>
      </c>
      <c r="D69" s="3" t="s">
        <v>174</v>
      </c>
      <c r="E69" s="3" t="s">
        <v>173</v>
      </c>
      <c r="F69" s="39">
        <v>870</v>
      </c>
      <c r="G69" s="39">
        <v>19</v>
      </c>
      <c r="H69" s="3" t="s">
        <v>170</v>
      </c>
      <c r="I69" s="115" t="s">
        <v>169</v>
      </c>
      <c r="J69" s="114">
        <v>3634</v>
      </c>
      <c r="K69" s="3">
        <v>20</v>
      </c>
      <c r="L69" s="3" t="s">
        <v>172</v>
      </c>
      <c r="M69" s="3" t="s">
        <v>171</v>
      </c>
      <c r="N69" s="3">
        <v>3681</v>
      </c>
      <c r="O69" s="3">
        <v>21</v>
      </c>
      <c r="P69" s="3" t="s">
        <v>168</v>
      </c>
      <c r="Q69" s="3" t="s">
        <v>167</v>
      </c>
      <c r="T69" s="90"/>
    </row>
    <row r="70" spans="1:20" ht="28.15" hidden="1" customHeight="1" x14ac:dyDescent="0.2">
      <c r="A70" s="106"/>
      <c r="B70" s="117">
        <v>870</v>
      </c>
      <c r="C70" s="39">
        <v>19</v>
      </c>
      <c r="D70" s="3" t="s">
        <v>170</v>
      </c>
      <c r="E70" s="3" t="s">
        <v>169</v>
      </c>
      <c r="F70" s="39">
        <v>936</v>
      </c>
      <c r="G70" s="39">
        <v>21</v>
      </c>
      <c r="H70" s="3" t="s">
        <v>166</v>
      </c>
      <c r="I70" s="115" t="s">
        <v>165</v>
      </c>
      <c r="J70" s="114">
        <v>3681</v>
      </c>
      <c r="K70" s="3">
        <v>21</v>
      </c>
      <c r="L70" s="3" t="s">
        <v>168</v>
      </c>
      <c r="M70" s="3" t="s">
        <v>167</v>
      </c>
      <c r="N70" s="3">
        <v>4088</v>
      </c>
      <c r="O70" s="3">
        <v>21</v>
      </c>
      <c r="P70" s="3" t="s">
        <v>164</v>
      </c>
      <c r="Q70" s="3" t="s">
        <v>163</v>
      </c>
      <c r="T70" s="90"/>
    </row>
    <row r="71" spans="1:20" ht="28.15" hidden="1" customHeight="1" x14ac:dyDescent="0.2">
      <c r="A71" s="106"/>
      <c r="B71" s="117">
        <v>936</v>
      </c>
      <c r="C71" s="39">
        <v>21</v>
      </c>
      <c r="D71" s="3" t="s">
        <v>166</v>
      </c>
      <c r="E71" s="3" t="s">
        <v>165</v>
      </c>
      <c r="F71" s="39">
        <v>1020</v>
      </c>
      <c r="G71" s="39">
        <v>22</v>
      </c>
      <c r="H71" s="3" t="s">
        <v>162</v>
      </c>
      <c r="I71" s="115" t="s">
        <v>161</v>
      </c>
      <c r="J71" s="114">
        <v>4088</v>
      </c>
      <c r="K71" s="3">
        <v>21</v>
      </c>
      <c r="L71" s="3" t="s">
        <v>164</v>
      </c>
      <c r="M71" s="3" t="s">
        <v>163</v>
      </c>
      <c r="N71" s="3">
        <v>4315</v>
      </c>
      <c r="O71" s="3">
        <v>21</v>
      </c>
      <c r="P71" s="3" t="s">
        <v>160</v>
      </c>
      <c r="Q71" s="3" t="s">
        <v>159</v>
      </c>
      <c r="T71" s="90"/>
    </row>
    <row r="72" spans="1:20" ht="28.15" hidden="1" customHeight="1" x14ac:dyDescent="0.2">
      <c r="A72" s="106"/>
      <c r="B72" s="117">
        <v>1020</v>
      </c>
      <c r="C72" s="39">
        <v>22</v>
      </c>
      <c r="D72" s="3" t="s">
        <v>162</v>
      </c>
      <c r="E72" s="3" t="s">
        <v>161</v>
      </c>
      <c r="F72" s="39">
        <v>1081</v>
      </c>
      <c r="G72" s="39">
        <v>22</v>
      </c>
      <c r="H72" s="3" t="s">
        <v>158</v>
      </c>
      <c r="I72" s="115" t="s">
        <v>157</v>
      </c>
      <c r="J72" s="114">
        <v>4315</v>
      </c>
      <c r="K72" s="3">
        <v>21</v>
      </c>
      <c r="L72" s="3" t="s">
        <v>160</v>
      </c>
      <c r="M72" s="3" t="s">
        <v>159</v>
      </c>
      <c r="N72" s="3">
        <v>4542</v>
      </c>
      <c r="O72" s="3">
        <v>22</v>
      </c>
      <c r="P72" s="3" t="s">
        <v>156</v>
      </c>
      <c r="Q72" s="3" t="s">
        <v>155</v>
      </c>
      <c r="T72" s="90"/>
    </row>
    <row r="73" spans="1:20" ht="28.15" hidden="1" customHeight="1" x14ac:dyDescent="0.2">
      <c r="A73" s="106"/>
      <c r="B73" s="117">
        <v>1081</v>
      </c>
      <c r="C73" s="39">
        <v>22</v>
      </c>
      <c r="D73" s="3" t="s">
        <v>158</v>
      </c>
      <c r="E73" s="3" t="s">
        <v>157</v>
      </c>
      <c r="F73" s="39">
        <v>1195</v>
      </c>
      <c r="G73" s="39">
        <v>22</v>
      </c>
      <c r="H73" s="3" t="s">
        <v>154</v>
      </c>
      <c r="I73" s="115" t="s">
        <v>153</v>
      </c>
      <c r="J73" s="114">
        <v>4542</v>
      </c>
      <c r="K73" s="3">
        <v>22</v>
      </c>
      <c r="L73" s="3" t="s">
        <v>156</v>
      </c>
      <c r="M73" s="3" t="s">
        <v>155</v>
      </c>
      <c r="N73" s="3">
        <v>4769</v>
      </c>
      <c r="O73" s="3">
        <v>22</v>
      </c>
      <c r="P73" s="3" t="s">
        <v>152</v>
      </c>
      <c r="Q73" s="3" t="s">
        <v>151</v>
      </c>
      <c r="T73" s="90"/>
    </row>
    <row r="74" spans="1:20" ht="28.15" hidden="1" customHeight="1" x14ac:dyDescent="0.2">
      <c r="A74" s="106"/>
      <c r="B74" s="117">
        <v>1195</v>
      </c>
      <c r="C74" s="39">
        <v>22</v>
      </c>
      <c r="D74" s="3" t="s">
        <v>154</v>
      </c>
      <c r="E74" s="3" t="s">
        <v>153</v>
      </c>
      <c r="F74" s="39">
        <v>1335</v>
      </c>
      <c r="G74" s="39">
        <v>23</v>
      </c>
      <c r="H74" s="3" t="s">
        <v>150</v>
      </c>
      <c r="I74" s="115" t="s">
        <v>149</v>
      </c>
      <c r="J74" s="114">
        <v>4769</v>
      </c>
      <c r="K74" s="3">
        <v>22</v>
      </c>
      <c r="L74" s="3" t="s">
        <v>152</v>
      </c>
      <c r="M74" s="3" t="s">
        <v>151</v>
      </c>
      <c r="N74" s="3">
        <v>4996</v>
      </c>
      <c r="O74" s="3">
        <v>23</v>
      </c>
      <c r="P74" s="3" t="s">
        <v>148</v>
      </c>
      <c r="Q74" s="3" t="s">
        <v>147</v>
      </c>
      <c r="T74" s="90"/>
    </row>
    <row r="75" spans="1:20" ht="28.15" hidden="1" customHeight="1" x14ac:dyDescent="0.2">
      <c r="A75" s="106"/>
      <c r="B75" s="117">
        <v>1335</v>
      </c>
      <c r="C75" s="39">
        <v>23</v>
      </c>
      <c r="D75" s="3" t="s">
        <v>150</v>
      </c>
      <c r="E75" s="3" t="s">
        <v>149</v>
      </c>
      <c r="F75" s="39">
        <v>1483</v>
      </c>
      <c r="G75" s="39">
        <v>23</v>
      </c>
      <c r="H75" s="3" t="s">
        <v>146</v>
      </c>
      <c r="I75" s="115" t="s">
        <v>145</v>
      </c>
      <c r="J75" s="114">
        <v>4996</v>
      </c>
      <c r="K75" s="3">
        <v>23</v>
      </c>
      <c r="L75" s="3" t="s">
        <v>148</v>
      </c>
      <c r="M75" s="3" t="s">
        <v>147</v>
      </c>
      <c r="N75" s="3">
        <v>5450</v>
      </c>
      <c r="O75" s="3">
        <v>24</v>
      </c>
      <c r="P75" s="3" t="s">
        <v>144</v>
      </c>
      <c r="Q75" s="3" t="s">
        <v>143</v>
      </c>
      <c r="T75" s="90"/>
    </row>
    <row r="76" spans="1:20" ht="28.15" hidden="1" customHeight="1" x14ac:dyDescent="0.2">
      <c r="A76" s="106"/>
      <c r="B76" s="117">
        <v>1483</v>
      </c>
      <c r="C76" s="39">
        <v>23</v>
      </c>
      <c r="D76" s="3" t="s">
        <v>146</v>
      </c>
      <c r="E76" s="3" t="s">
        <v>145</v>
      </c>
      <c r="F76" s="39">
        <v>1581</v>
      </c>
      <c r="G76" s="39">
        <v>23</v>
      </c>
      <c r="H76" s="3" t="s">
        <v>142</v>
      </c>
      <c r="I76" s="115" t="s">
        <v>141</v>
      </c>
      <c r="J76" s="114">
        <v>5450</v>
      </c>
      <c r="K76" s="3">
        <v>24</v>
      </c>
      <c r="L76" s="3" t="s">
        <v>144</v>
      </c>
      <c r="M76" s="3" t="s">
        <v>143</v>
      </c>
      <c r="N76" s="3">
        <v>5905</v>
      </c>
      <c r="O76" s="3">
        <v>25</v>
      </c>
      <c r="P76" s="3" t="s">
        <v>140</v>
      </c>
      <c r="Q76" s="3" t="s">
        <v>139</v>
      </c>
      <c r="T76" s="90"/>
    </row>
    <row r="77" spans="1:20" ht="28.15" hidden="1" customHeight="1" x14ac:dyDescent="0.2">
      <c r="A77" s="106"/>
      <c r="B77" s="117">
        <v>1581</v>
      </c>
      <c r="C77" s="39">
        <v>23</v>
      </c>
      <c r="D77" s="3" t="s">
        <v>142</v>
      </c>
      <c r="E77" s="3" t="s">
        <v>141</v>
      </c>
      <c r="F77" s="39">
        <v>1774</v>
      </c>
      <c r="G77" s="39">
        <v>24</v>
      </c>
      <c r="H77" s="3" t="s">
        <v>138</v>
      </c>
      <c r="I77" s="115" t="s">
        <v>137</v>
      </c>
      <c r="J77" s="114">
        <v>5905</v>
      </c>
      <c r="K77" s="3">
        <v>25</v>
      </c>
      <c r="L77" s="3" t="s">
        <v>140</v>
      </c>
      <c r="M77" s="3" t="s">
        <v>139</v>
      </c>
      <c r="N77" s="3">
        <v>6539</v>
      </c>
      <c r="O77" s="3">
        <v>26</v>
      </c>
      <c r="P77" s="3" t="s">
        <v>136</v>
      </c>
      <c r="Q77" s="3" t="s">
        <v>135</v>
      </c>
      <c r="T77" s="90"/>
    </row>
    <row r="78" spans="1:20" ht="28.15" hidden="1" customHeight="1" x14ac:dyDescent="0.2">
      <c r="A78" s="106"/>
      <c r="B78" s="117">
        <v>1774</v>
      </c>
      <c r="C78" s="39">
        <v>24</v>
      </c>
      <c r="D78" s="3" t="s">
        <v>138</v>
      </c>
      <c r="E78" s="3" t="s">
        <v>137</v>
      </c>
      <c r="F78" s="39">
        <v>1883</v>
      </c>
      <c r="G78" s="39">
        <v>24</v>
      </c>
      <c r="H78" s="3" t="s">
        <v>134</v>
      </c>
      <c r="I78" s="115" t="s">
        <v>133</v>
      </c>
      <c r="J78" s="114">
        <v>6539</v>
      </c>
      <c r="K78" s="3">
        <v>26</v>
      </c>
      <c r="L78" s="3" t="s">
        <v>136</v>
      </c>
      <c r="M78" s="3" t="s">
        <v>135</v>
      </c>
      <c r="N78" s="3">
        <v>6831</v>
      </c>
      <c r="O78" s="3">
        <v>27</v>
      </c>
      <c r="P78" s="3" t="s">
        <v>132</v>
      </c>
      <c r="Q78" s="3" t="s">
        <v>131</v>
      </c>
      <c r="T78" s="90"/>
    </row>
    <row r="79" spans="1:20" ht="28.15" hidden="1" customHeight="1" x14ac:dyDescent="0.2">
      <c r="A79" s="106"/>
      <c r="B79" s="117">
        <v>1883</v>
      </c>
      <c r="C79" s="39">
        <v>24</v>
      </c>
      <c r="D79" s="3" t="s">
        <v>134</v>
      </c>
      <c r="E79" s="3" t="s">
        <v>133</v>
      </c>
      <c r="F79" s="39">
        <v>2080</v>
      </c>
      <c r="G79" s="39">
        <v>25</v>
      </c>
      <c r="H79" s="3" t="s">
        <v>130</v>
      </c>
      <c r="I79" s="115" t="s">
        <v>129</v>
      </c>
      <c r="J79" s="114">
        <v>6831</v>
      </c>
      <c r="K79" s="3">
        <v>27</v>
      </c>
      <c r="L79" s="3" t="s">
        <v>132</v>
      </c>
      <c r="M79" s="3" t="s">
        <v>131</v>
      </c>
      <c r="N79" s="3">
        <v>7267</v>
      </c>
      <c r="O79" s="3">
        <v>28</v>
      </c>
      <c r="P79" s="3" t="s">
        <v>128</v>
      </c>
      <c r="Q79" s="3" t="s">
        <v>127</v>
      </c>
      <c r="T79" s="90"/>
    </row>
    <row r="80" spans="1:20" ht="28.15" hidden="1" customHeight="1" x14ac:dyDescent="0.2">
      <c r="A80" s="106"/>
      <c r="B80" s="117">
        <v>2080</v>
      </c>
      <c r="C80" s="39">
        <v>25</v>
      </c>
      <c r="D80" s="3" t="s">
        <v>130</v>
      </c>
      <c r="E80" s="3" t="s">
        <v>129</v>
      </c>
      <c r="F80" s="39">
        <v>2251</v>
      </c>
      <c r="G80" s="39">
        <v>26</v>
      </c>
      <c r="H80" s="3" t="s">
        <v>126</v>
      </c>
      <c r="I80" s="115" t="s">
        <v>125</v>
      </c>
      <c r="J80" s="114">
        <v>7267</v>
      </c>
      <c r="K80" s="3">
        <v>28</v>
      </c>
      <c r="L80" s="3" t="s">
        <v>128</v>
      </c>
      <c r="M80" s="3" t="s">
        <v>127</v>
      </c>
      <c r="N80" s="3">
        <v>7721</v>
      </c>
      <c r="O80" s="3">
        <v>30</v>
      </c>
      <c r="P80" s="3" t="s">
        <v>124</v>
      </c>
      <c r="Q80" s="3" t="s">
        <v>123</v>
      </c>
      <c r="T80" s="90"/>
    </row>
    <row r="81" spans="1:20" ht="28.15" hidden="1" customHeight="1" x14ac:dyDescent="0.2">
      <c r="A81" s="106"/>
      <c r="B81" s="117">
        <v>2251</v>
      </c>
      <c r="C81" s="39">
        <v>26</v>
      </c>
      <c r="D81" s="3" t="s">
        <v>126</v>
      </c>
      <c r="E81" s="3" t="s">
        <v>125</v>
      </c>
      <c r="F81" s="39">
        <v>2319</v>
      </c>
      <c r="G81" s="39">
        <v>27</v>
      </c>
      <c r="H81" s="3" t="s">
        <v>122</v>
      </c>
      <c r="I81" s="115" t="s">
        <v>121</v>
      </c>
      <c r="J81" s="114">
        <v>7721</v>
      </c>
      <c r="K81" s="3">
        <v>30</v>
      </c>
      <c r="L81" s="3" t="s">
        <v>124</v>
      </c>
      <c r="M81" s="3" t="s">
        <v>123</v>
      </c>
      <c r="N81" s="3">
        <v>8176</v>
      </c>
      <c r="O81" s="3">
        <v>31</v>
      </c>
      <c r="P81" s="3" t="s">
        <v>120</v>
      </c>
      <c r="Q81" s="3" t="s">
        <v>119</v>
      </c>
      <c r="T81" s="90"/>
    </row>
    <row r="82" spans="1:20" ht="28.15" hidden="1" customHeight="1" x14ac:dyDescent="0.2">
      <c r="A82" s="106"/>
      <c r="B82" s="117">
        <v>2319</v>
      </c>
      <c r="C82" s="39">
        <v>27</v>
      </c>
      <c r="D82" s="3" t="s">
        <v>122</v>
      </c>
      <c r="E82" s="3" t="s">
        <v>121</v>
      </c>
      <c r="F82" s="39">
        <v>2448</v>
      </c>
      <c r="G82" s="39">
        <v>28</v>
      </c>
      <c r="H82" s="3" t="s">
        <v>118</v>
      </c>
      <c r="I82" s="115" t="s">
        <v>117</v>
      </c>
      <c r="J82" s="114">
        <v>8176</v>
      </c>
      <c r="K82" s="3">
        <v>31</v>
      </c>
      <c r="L82" s="3" t="s">
        <v>120</v>
      </c>
      <c r="M82" s="3" t="s">
        <v>119</v>
      </c>
      <c r="N82" s="3">
        <v>8630</v>
      </c>
      <c r="O82" s="3">
        <v>33</v>
      </c>
      <c r="P82" s="3" t="s">
        <v>116</v>
      </c>
      <c r="Q82" s="3" t="s">
        <v>115</v>
      </c>
      <c r="T82" s="90"/>
    </row>
    <row r="83" spans="1:20" ht="28.15" hidden="1" customHeight="1" thickBot="1" x14ac:dyDescent="0.25">
      <c r="A83" s="106"/>
      <c r="B83" s="116">
        <v>2448</v>
      </c>
      <c r="C83" s="48">
        <v>28</v>
      </c>
      <c r="D83" s="112" t="s">
        <v>118</v>
      </c>
      <c r="E83" s="112" t="s">
        <v>117</v>
      </c>
      <c r="F83" s="39">
        <v>2448</v>
      </c>
      <c r="G83" s="39">
        <v>28</v>
      </c>
      <c r="H83" s="3" t="s">
        <v>118</v>
      </c>
      <c r="I83" s="115" t="s">
        <v>117</v>
      </c>
      <c r="J83" s="114">
        <v>8630</v>
      </c>
      <c r="K83" s="3">
        <v>33</v>
      </c>
      <c r="L83" s="3" t="s">
        <v>116</v>
      </c>
      <c r="M83" s="3" t="s">
        <v>115</v>
      </c>
      <c r="N83" s="3">
        <v>9084</v>
      </c>
      <c r="O83" s="3">
        <v>34</v>
      </c>
      <c r="P83" s="3" t="s">
        <v>114</v>
      </c>
      <c r="Q83" s="3" t="s">
        <v>113</v>
      </c>
      <c r="T83" s="90"/>
    </row>
    <row r="84" spans="1:20" ht="28.15" hidden="1" customHeight="1" x14ac:dyDescent="0.2">
      <c r="A84" s="106"/>
      <c r="J84" s="114">
        <v>9084</v>
      </c>
      <c r="K84" s="3">
        <v>34</v>
      </c>
      <c r="L84" s="3" t="s">
        <v>114</v>
      </c>
      <c r="M84" s="3" t="s">
        <v>113</v>
      </c>
      <c r="N84" s="3">
        <v>9538</v>
      </c>
      <c r="O84" s="3">
        <v>36</v>
      </c>
      <c r="P84" s="3" t="s">
        <v>112</v>
      </c>
      <c r="Q84" s="3" t="s">
        <v>111</v>
      </c>
      <c r="T84" s="90"/>
    </row>
    <row r="85" spans="1:20" ht="28.15" hidden="1" customHeight="1" x14ac:dyDescent="0.2">
      <c r="A85" s="106"/>
      <c r="J85" s="114">
        <v>9538</v>
      </c>
      <c r="K85" s="3">
        <v>36</v>
      </c>
      <c r="L85" s="3" t="s">
        <v>112</v>
      </c>
      <c r="M85" s="3" t="s">
        <v>111</v>
      </c>
      <c r="N85" s="3">
        <v>9990</v>
      </c>
      <c r="O85" s="3">
        <v>38</v>
      </c>
      <c r="P85" s="3" t="s">
        <v>110</v>
      </c>
      <c r="Q85" s="3" t="s">
        <v>109</v>
      </c>
      <c r="T85" s="90"/>
    </row>
    <row r="86" spans="1:20" ht="28.15" hidden="1" customHeight="1" x14ac:dyDescent="0.2">
      <c r="A86" s="106"/>
      <c r="J86" s="114">
        <v>9990</v>
      </c>
      <c r="K86" s="3">
        <v>38</v>
      </c>
      <c r="L86" s="3" t="s">
        <v>110</v>
      </c>
      <c r="M86" s="3" t="s">
        <v>109</v>
      </c>
      <c r="N86" s="3">
        <v>10445</v>
      </c>
      <c r="O86" s="3">
        <v>40</v>
      </c>
      <c r="P86" s="3" t="s">
        <v>108</v>
      </c>
      <c r="Q86" s="3" t="s">
        <v>107</v>
      </c>
      <c r="T86" s="90"/>
    </row>
    <row r="87" spans="1:20" ht="28.15" hidden="1" customHeight="1" x14ac:dyDescent="0.2">
      <c r="A87" s="106"/>
      <c r="J87" s="114">
        <v>10445</v>
      </c>
      <c r="K87" s="3">
        <v>40</v>
      </c>
      <c r="L87" s="3" t="s">
        <v>108</v>
      </c>
      <c r="M87" s="3" t="s">
        <v>107</v>
      </c>
      <c r="N87" s="3">
        <v>10900</v>
      </c>
      <c r="O87" s="3">
        <v>42</v>
      </c>
      <c r="P87" s="3" t="s">
        <v>106</v>
      </c>
      <c r="Q87" s="3" t="s">
        <v>105</v>
      </c>
      <c r="T87" s="90"/>
    </row>
    <row r="88" spans="1:20" ht="28.15" hidden="1" customHeight="1" thickBot="1" x14ac:dyDescent="0.25">
      <c r="A88" s="106"/>
      <c r="J88" s="114">
        <v>10900</v>
      </c>
      <c r="K88" s="3">
        <v>42</v>
      </c>
      <c r="L88" s="3" t="s">
        <v>106</v>
      </c>
      <c r="M88" s="3" t="s">
        <v>105</v>
      </c>
      <c r="N88" s="3">
        <v>11355</v>
      </c>
      <c r="O88" s="3">
        <v>44</v>
      </c>
      <c r="P88" s="112" t="s">
        <v>104</v>
      </c>
      <c r="Q88" s="112" t="s">
        <v>103</v>
      </c>
      <c r="T88" s="90"/>
    </row>
    <row r="89" spans="1:20" ht="28.15" hidden="1" customHeight="1" thickBot="1" x14ac:dyDescent="0.25">
      <c r="A89" s="106"/>
      <c r="J89" s="113">
        <v>11355</v>
      </c>
      <c r="K89" s="112">
        <v>44</v>
      </c>
      <c r="L89" s="112" t="s">
        <v>104</v>
      </c>
      <c r="M89" s="112" t="s">
        <v>103</v>
      </c>
      <c r="N89" s="3">
        <v>11355</v>
      </c>
      <c r="O89" s="3">
        <v>44</v>
      </c>
      <c r="P89" s="112" t="s">
        <v>104</v>
      </c>
      <c r="Q89" s="112" t="s">
        <v>103</v>
      </c>
      <c r="T89" s="90"/>
    </row>
    <row r="90" spans="1:20" ht="28.15" hidden="1" customHeight="1" thickBot="1" x14ac:dyDescent="0.25">
      <c r="A90" s="106"/>
      <c r="B90" s="30"/>
      <c r="D90" s="17"/>
      <c r="E90" s="17"/>
      <c r="F90" s="111"/>
      <c r="G90" s="23"/>
      <c r="H90" s="17"/>
      <c r="T90" s="90"/>
    </row>
    <row r="91" spans="1:20" ht="28.15" hidden="1" customHeight="1" x14ac:dyDescent="0.2">
      <c r="A91" s="106"/>
      <c r="B91" s="30"/>
      <c r="C91" s="795"/>
      <c r="D91" s="751"/>
      <c r="E91" s="751"/>
      <c r="F91" s="752"/>
      <c r="G91" s="23"/>
      <c r="H91" s="795"/>
      <c r="I91" s="751"/>
      <c r="J91" s="751"/>
      <c r="K91" s="752"/>
      <c r="T91" s="90"/>
    </row>
    <row r="92" spans="1:20" ht="13.5" hidden="1" thickTop="1" x14ac:dyDescent="0.2">
      <c r="A92" s="106"/>
      <c r="B92" s="22"/>
      <c r="C92" s="108"/>
      <c r="D92" s="107"/>
      <c r="E92" s="818"/>
      <c r="F92" s="819"/>
      <c r="H92" s="108"/>
      <c r="I92" s="107"/>
      <c r="J92" s="818"/>
      <c r="K92" s="819"/>
      <c r="T92" s="90"/>
    </row>
    <row r="93" spans="1:20" ht="13.5" hidden="1" thickTop="1" x14ac:dyDescent="0.2">
      <c r="A93" s="106"/>
      <c r="B93" s="22"/>
      <c r="C93" s="105"/>
      <c r="D93" s="55"/>
      <c r="E93" s="71"/>
      <c r="F93" s="104"/>
      <c r="H93" s="105"/>
      <c r="I93" s="55"/>
      <c r="J93" s="71"/>
      <c r="K93" s="104"/>
      <c r="T93" s="90"/>
    </row>
    <row r="94" spans="1:20" ht="13.5" hidden="1" thickTop="1" x14ac:dyDescent="0.2">
      <c r="A94" s="91"/>
      <c r="B94" s="30"/>
      <c r="C94" s="103"/>
      <c r="D94" s="102"/>
      <c r="E94" s="101"/>
      <c r="F94" s="100"/>
      <c r="G94" s="93"/>
      <c r="H94" s="103"/>
      <c r="I94" s="102"/>
      <c r="J94" s="101"/>
      <c r="K94" s="100"/>
      <c r="T94" s="90"/>
    </row>
    <row r="95" spans="1:20" ht="14.25" hidden="1" thickTop="1" thickBot="1" x14ac:dyDescent="0.25">
      <c r="A95" s="91"/>
      <c r="B95" s="30"/>
      <c r="C95" s="99"/>
      <c r="D95" s="97"/>
      <c r="E95" s="96"/>
      <c r="F95" s="95"/>
      <c r="G95" s="93"/>
      <c r="H95" s="98"/>
      <c r="I95" s="97"/>
      <c r="J95" s="96"/>
      <c r="K95" s="95"/>
      <c r="T95" s="90"/>
    </row>
    <row r="96" spans="1:20" ht="13.5" hidden="1" thickTop="1" x14ac:dyDescent="0.2">
      <c r="A96" s="91"/>
      <c r="B96" s="23"/>
      <c r="C96" s="92"/>
      <c r="D96" s="92"/>
      <c r="E96" s="92"/>
      <c r="F96" s="94"/>
      <c r="G96" s="93"/>
      <c r="H96" s="92"/>
      <c r="T96" s="90"/>
    </row>
    <row r="97" spans="1:20" ht="13.5" hidden="1" thickTop="1" x14ac:dyDescent="0.2">
      <c r="A97" s="91"/>
      <c r="B97" s="89"/>
      <c r="C97" s="89"/>
      <c r="F97" s="89"/>
      <c r="G97" s="89"/>
      <c r="H97" s="89"/>
      <c r="T97" s="90"/>
    </row>
    <row r="98" spans="1:20" ht="13.5" thickTop="1" x14ac:dyDescent="0.2">
      <c r="A98" s="89"/>
      <c r="B98" s="89"/>
      <c r="C98" s="89"/>
      <c r="D98" s="89"/>
      <c r="E98" s="89"/>
      <c r="F98" s="89"/>
      <c r="G98" s="89"/>
      <c r="H98" s="89"/>
      <c r="I98" s="89"/>
      <c r="J98" s="89"/>
      <c r="T98" s="90"/>
    </row>
    <row r="99" spans="1:20" x14ac:dyDescent="0.2">
      <c r="A99" s="89"/>
      <c r="B99" s="89"/>
      <c r="C99" s="89"/>
      <c r="D99" s="89"/>
      <c r="E99" s="89"/>
      <c r="F99" s="89"/>
      <c r="G99" s="89"/>
      <c r="H99" s="89"/>
      <c r="I99" s="89"/>
      <c r="J99" s="89"/>
      <c r="T99" s="90"/>
    </row>
    <row r="100" spans="1:20" x14ac:dyDescent="0.2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T100" s="90"/>
    </row>
    <row r="101" spans="1:20" ht="13.5" thickBot="1" x14ac:dyDescent="0.25">
      <c r="F101" s="89"/>
      <c r="G101" s="89"/>
      <c r="H101" s="89"/>
      <c r="I101" s="89"/>
      <c r="J101" s="89"/>
      <c r="P101" s="88"/>
      <c r="Q101" s="88"/>
      <c r="R101" s="88"/>
      <c r="S101" s="88"/>
      <c r="T101" s="87"/>
    </row>
    <row r="103" spans="1:20" x14ac:dyDescent="0.2">
      <c r="B103" s="86"/>
      <c r="J103" s="85"/>
    </row>
    <row r="105" spans="1:20" x14ac:dyDescent="0.2">
      <c r="B105" s="86"/>
    </row>
    <row r="106" spans="1:20" x14ac:dyDescent="0.2">
      <c r="M106" s="85"/>
    </row>
    <row r="108" spans="1:20" x14ac:dyDescent="0.2">
      <c r="B108" s="85"/>
    </row>
    <row r="112" spans="1:20" x14ac:dyDescent="0.2">
      <c r="B112" s="85"/>
    </row>
    <row r="114" spans="2:2" x14ac:dyDescent="0.2">
      <c r="B114" s="85"/>
    </row>
  </sheetData>
  <sheetProtection sheet="1" objects="1" scenarios="1"/>
  <mergeCells count="28">
    <mergeCell ref="A2:N2"/>
    <mergeCell ref="H11:I11"/>
    <mergeCell ref="J11:K11"/>
    <mergeCell ref="L11:M11"/>
    <mergeCell ref="A1:N1"/>
    <mergeCell ref="Q12:T12"/>
    <mergeCell ref="V12:Y12"/>
    <mergeCell ref="S13:T13"/>
    <mergeCell ref="X13:Y13"/>
    <mergeCell ref="B15:C15"/>
    <mergeCell ref="B28:C28"/>
    <mergeCell ref="D28:G28"/>
    <mergeCell ref="H28:K28"/>
    <mergeCell ref="L28:N28"/>
    <mergeCell ref="B42:I42"/>
    <mergeCell ref="J42:Q42"/>
    <mergeCell ref="B43:E43"/>
    <mergeCell ref="F43:I43"/>
    <mergeCell ref="J43:M43"/>
    <mergeCell ref="N43:Q43"/>
    <mergeCell ref="E92:F92"/>
    <mergeCell ref="J92:K92"/>
    <mergeCell ref="D44:E44"/>
    <mergeCell ref="H44:I44"/>
    <mergeCell ref="L44:M44"/>
    <mergeCell ref="P44:Q44"/>
    <mergeCell ref="C91:F91"/>
    <mergeCell ref="H91:K91"/>
  </mergeCells>
  <dataValidations count="1">
    <dataValidation type="list" allowBlank="1" showInputMessage="1" showErrorMessage="1" sqref="D13" xr:uid="{52F21A7D-9ED4-4234-ACC4-AEDDD23924CB}">
      <formula1>$B$19:$B$25</formula1>
    </dataValidation>
  </dataValidations>
  <pageMargins left="0.19685039370078741" right="0" top="0.59055118110236227" bottom="0.39370078740157483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122"/>
  <sheetViews>
    <sheetView showGridLines="0" topLeftCell="A2" zoomScaleNormal="100" workbookViewId="0">
      <selection activeCell="V14" sqref="V14"/>
    </sheetView>
  </sheetViews>
  <sheetFormatPr defaultColWidth="11.42578125" defaultRowHeight="12.75" x14ac:dyDescent="0.2"/>
  <cols>
    <col min="1" max="1" width="8.28515625" customWidth="1"/>
    <col min="2" max="2" width="11.7109375" customWidth="1"/>
    <col min="3" max="3" width="9.7109375" customWidth="1"/>
    <col min="4" max="4" width="8.28515625" customWidth="1"/>
    <col min="5" max="5" width="10.42578125" customWidth="1"/>
    <col min="6" max="8" width="9.7109375" customWidth="1"/>
    <col min="9" max="9" width="8.140625" customWidth="1"/>
    <col min="10" max="10" width="8.7109375" customWidth="1"/>
    <col min="11" max="11" width="8.42578125" customWidth="1"/>
    <col min="12" max="12" width="9.7109375" customWidth="1"/>
    <col min="13" max="13" width="6.5703125" customWidth="1"/>
    <col min="14" max="14" width="4.7109375" hidden="1" customWidth="1"/>
    <col min="15" max="15" width="9.7109375" customWidth="1"/>
    <col min="16" max="17" width="8.7109375" customWidth="1"/>
    <col min="18" max="18" width="9.7109375" customWidth="1"/>
    <col min="19" max="19" width="8.7109375" customWidth="1"/>
    <col min="20" max="20" width="8.7109375" style="60" customWidth="1"/>
    <col min="21" max="21" width="8.7109375" customWidth="1"/>
    <col min="22" max="28" width="11.42578125" customWidth="1"/>
    <col min="29" max="29" width="12.85546875" bestFit="1" customWidth="1"/>
  </cols>
  <sheetData>
    <row r="1" spans="1:34" ht="21" thickTop="1" x14ac:dyDescent="0.3">
      <c r="A1" s="207"/>
      <c r="B1" s="747" t="s">
        <v>735</v>
      </c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8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4" ht="20.25" customHeight="1" thickBot="1" x14ac:dyDescent="0.35">
      <c r="A2" s="739" t="s">
        <v>734</v>
      </c>
      <c r="B2" s="740"/>
      <c r="C2" s="740"/>
      <c r="D2" s="740"/>
      <c r="E2" s="740"/>
      <c r="F2" s="740"/>
      <c r="G2" s="740"/>
      <c r="H2" s="740"/>
      <c r="I2" s="740"/>
      <c r="J2" s="740"/>
      <c r="K2" s="740"/>
      <c r="L2" s="740"/>
      <c r="M2" s="740"/>
      <c r="N2" s="740"/>
      <c r="O2" s="740"/>
      <c r="P2" s="740"/>
      <c r="Q2" s="740"/>
      <c r="R2" s="741"/>
      <c r="S2" s="85"/>
    </row>
    <row r="3" spans="1:34" ht="14.25" hidden="1" thickTop="1" thickBot="1" x14ac:dyDescent="0.25">
      <c r="A3" s="22"/>
      <c r="D3" s="17"/>
      <c r="E3" s="17"/>
      <c r="F3" s="17"/>
      <c r="G3" s="17"/>
      <c r="H3" s="17"/>
      <c r="I3" s="189"/>
      <c r="J3" s="23"/>
      <c r="K3" s="173"/>
      <c r="L3" s="218"/>
      <c r="R3" s="21"/>
    </row>
    <row r="4" spans="1:34" ht="14.25" thickTop="1" thickBot="1" x14ac:dyDescent="0.25">
      <c r="A4" s="22"/>
      <c r="B4" s="189"/>
      <c r="D4" s="17" t="s">
        <v>23</v>
      </c>
      <c r="E4" s="17"/>
      <c r="F4" s="219" t="s">
        <v>441</v>
      </c>
      <c r="G4" s="220"/>
      <c r="H4" s="221"/>
      <c r="I4" s="222" t="s">
        <v>317</v>
      </c>
      <c r="J4" s="223" t="s">
        <v>309</v>
      </c>
      <c r="K4" s="221" t="s">
        <v>440</v>
      </c>
      <c r="L4" s="221" t="s">
        <v>265</v>
      </c>
      <c r="M4" s="224" t="s">
        <v>317</v>
      </c>
      <c r="N4" s="225"/>
      <c r="O4" s="221" t="s">
        <v>440</v>
      </c>
      <c r="P4" s="221" t="s">
        <v>426</v>
      </c>
      <c r="Q4" s="224" t="s">
        <v>317</v>
      </c>
      <c r="R4" s="226" t="s">
        <v>427</v>
      </c>
    </row>
    <row r="5" spans="1:34" ht="13.5" thickBot="1" x14ac:dyDescent="0.25">
      <c r="A5" s="30"/>
      <c r="B5" s="23" t="s">
        <v>77</v>
      </c>
      <c r="C5" s="227"/>
      <c r="D5" s="304">
        <v>5000</v>
      </c>
      <c r="E5" s="23" t="s">
        <v>329</v>
      </c>
      <c r="F5" s="228" t="s">
        <v>590</v>
      </c>
      <c r="G5" s="229"/>
      <c r="H5" s="230"/>
      <c r="I5" s="231" t="s">
        <v>330</v>
      </c>
      <c r="J5" s="232" t="s">
        <v>299</v>
      </c>
      <c r="K5" s="233" t="s">
        <v>442</v>
      </c>
      <c r="L5" s="233"/>
      <c r="M5" s="234"/>
      <c r="N5" s="235"/>
      <c r="O5" s="233" t="s">
        <v>443</v>
      </c>
      <c r="P5" s="233"/>
      <c r="Q5" s="234"/>
      <c r="R5" s="236"/>
      <c r="S5" s="23"/>
      <c r="T5" s="237"/>
    </row>
    <row r="6" spans="1:34" x14ac:dyDescent="0.2">
      <c r="A6" s="84"/>
      <c r="B6" s="17"/>
      <c r="C6" s="92"/>
      <c r="D6" s="92"/>
      <c r="E6" s="238"/>
      <c r="F6" s="239" t="s">
        <v>428</v>
      </c>
      <c r="G6" s="240"/>
      <c r="H6" s="241"/>
      <c r="I6" s="407">
        <f>((VLOOKUP(($D$14),$A$30:$Q$46,9)))</f>
        <v>675</v>
      </c>
      <c r="J6" s="408">
        <f>((VLOOKUP(($D$14),$A$30:$Q$46,10)))</f>
        <v>49</v>
      </c>
      <c r="K6" s="409">
        <f>((VLOOKUP(($D$14),$A$30:$Q$46,11)))</f>
        <v>13</v>
      </c>
      <c r="L6" s="409" t="str">
        <f>((VLOOKUP(($D$14),$A$30:$Q$46,12)))</f>
        <v>52-66407H</v>
      </c>
      <c r="M6" s="410">
        <f>((VLOOKUP(($D$14),$A$30:$Q$46,13)))</f>
        <v>45</v>
      </c>
      <c r="N6" s="408"/>
      <c r="O6" s="409">
        <f>((VLOOKUP(($D$14),$A$30:$Q$46,14)))</f>
        <v>2</v>
      </c>
      <c r="P6" s="409" t="str">
        <f>((VLOOKUP(($D$14),$A$30:$Q$46,16)))</f>
        <v>52-66407H</v>
      </c>
      <c r="Q6" s="410">
        <f>((VLOOKUP(($D$14),$A$30:$Q$46,17)))</f>
        <v>45</v>
      </c>
      <c r="R6" s="411">
        <f>((VLOOKUP(($D$14),$A$30:$R$46,18)))</f>
        <v>-0.86499999999999999</v>
      </c>
    </row>
    <row r="7" spans="1:34" x14ac:dyDescent="0.2">
      <c r="A7" s="84"/>
      <c r="B7" s="189" t="s">
        <v>436</v>
      </c>
      <c r="C7" s="92"/>
      <c r="D7" s="92"/>
      <c r="E7" s="238"/>
      <c r="F7" s="242"/>
      <c r="G7" s="243"/>
      <c r="H7" s="243"/>
      <c r="I7" s="243"/>
      <c r="J7" s="242"/>
      <c r="K7" s="243"/>
      <c r="L7" s="243"/>
      <c r="M7" s="244"/>
      <c r="N7" s="242"/>
      <c r="O7" s="243"/>
      <c r="P7" s="243"/>
      <c r="Q7" s="244"/>
      <c r="R7" s="244"/>
    </row>
    <row r="8" spans="1:34" ht="13.5" thickBot="1" x14ac:dyDescent="0.25">
      <c r="A8" s="84"/>
      <c r="B8" s="189" t="s">
        <v>331</v>
      </c>
      <c r="C8" s="17"/>
      <c r="D8" s="17"/>
      <c r="E8" s="238"/>
      <c r="F8" s="245" t="s">
        <v>429</v>
      </c>
      <c r="G8" s="246"/>
      <c r="H8" s="247"/>
      <c r="I8" s="412">
        <f>((VLOOKUP(($D$14),$A$30:$Q$46,4)))</f>
        <v>675</v>
      </c>
      <c r="J8" s="413">
        <f>((VLOOKUP(($D$14),$A$30:$Q$46,5)))</f>
        <v>49</v>
      </c>
      <c r="K8" s="414">
        <f>IF($M$8=0,0,I8/M8)</f>
        <v>15</v>
      </c>
      <c r="L8" s="415" t="str">
        <f>((VLOOKUP(($D$14),$A$30:$Q$46,6)))</f>
        <v>52-66407H</v>
      </c>
      <c r="M8" s="416">
        <f>((VLOOKUP(($D$14),$A$30:$Q$46,7)))</f>
        <v>45</v>
      </c>
      <c r="N8" s="844"/>
      <c r="O8" s="845"/>
      <c r="P8" s="845"/>
      <c r="Q8" s="846"/>
      <c r="R8" s="417">
        <f>((VLOOKUP(($D$14),$A$30:$Q$46,8)))</f>
        <v>-0.86499999999999999</v>
      </c>
    </row>
    <row r="9" spans="1:34" ht="13.5" thickTop="1" x14ac:dyDescent="0.2">
      <c r="A9" s="84"/>
      <c r="B9" s="238" t="s">
        <v>437</v>
      </c>
      <c r="C9" s="17"/>
      <c r="D9" s="238"/>
      <c r="E9" s="238"/>
      <c r="F9" s="23"/>
      <c r="G9" s="92"/>
      <c r="I9" s="17"/>
      <c r="P9" s="23"/>
      <c r="R9" s="21"/>
    </row>
    <row r="10" spans="1:34" hidden="1" x14ac:dyDescent="0.2">
      <c r="A10" s="84"/>
      <c r="B10" s="189"/>
      <c r="C10" s="17"/>
      <c r="D10" s="238"/>
      <c r="E10" s="238"/>
      <c r="F10" s="23"/>
      <c r="G10" s="238"/>
      <c r="I10" s="238"/>
      <c r="K10" s="127"/>
      <c r="L10" s="127"/>
      <c r="N10" s="23"/>
      <c r="O10" s="237"/>
      <c r="R10" s="21"/>
      <c r="X10" s="85"/>
    </row>
    <row r="11" spans="1:34" x14ac:dyDescent="0.2">
      <c r="A11" s="84"/>
      <c r="B11" s="238"/>
      <c r="C11" s="17"/>
      <c r="D11" s="238"/>
      <c r="E11" s="238"/>
      <c r="F11" s="23"/>
      <c r="G11" s="92"/>
      <c r="I11" s="238"/>
      <c r="N11" s="23"/>
      <c r="O11" s="237"/>
      <c r="R11" s="21"/>
      <c r="X11" s="85"/>
    </row>
    <row r="12" spans="1:34" x14ac:dyDescent="0.2">
      <c r="A12" s="84"/>
      <c r="B12" s="189"/>
      <c r="C12" s="17"/>
      <c r="D12" s="238"/>
      <c r="E12" s="238"/>
      <c r="F12" s="23"/>
      <c r="G12" s="92"/>
      <c r="I12" s="238"/>
      <c r="N12" s="23"/>
      <c r="O12" s="237"/>
      <c r="R12" s="21"/>
      <c r="X12" s="85"/>
    </row>
    <row r="13" spans="1:34" ht="13.5" thickBot="1" x14ac:dyDescent="0.25">
      <c r="A13" s="84"/>
      <c r="B13" s="238" t="s">
        <v>438</v>
      </c>
      <c r="C13" s="92"/>
      <c r="D13" s="92"/>
      <c r="E13" s="238"/>
      <c r="F13" s="23"/>
      <c r="G13" s="92"/>
      <c r="I13" s="238"/>
      <c r="N13" s="23"/>
      <c r="O13" s="237"/>
      <c r="R13" s="21"/>
      <c r="X13" s="85"/>
    </row>
    <row r="14" spans="1:34" ht="13.5" thickBot="1" x14ac:dyDescent="0.25">
      <c r="A14" s="84"/>
      <c r="B14" s="17" t="s">
        <v>432</v>
      </c>
      <c r="C14" s="17"/>
      <c r="D14" s="303">
        <v>300</v>
      </c>
      <c r="E14" s="238"/>
      <c r="F14" s="23"/>
      <c r="G14" s="92"/>
      <c r="I14" s="238"/>
      <c r="N14" s="23"/>
      <c r="O14" s="237"/>
      <c r="R14" s="21"/>
      <c r="X14" s="85"/>
    </row>
    <row r="15" spans="1:34" ht="13.5" thickBot="1" x14ac:dyDescent="0.25">
      <c r="A15" s="84"/>
      <c r="B15" s="189"/>
      <c r="C15" s="17"/>
      <c r="D15" s="238"/>
      <c r="E15" s="238"/>
      <c r="F15" s="23"/>
      <c r="G15" s="92"/>
      <c r="I15" s="238"/>
      <c r="N15" s="23"/>
      <c r="O15" s="237"/>
      <c r="R15" s="21"/>
      <c r="X15" s="85"/>
    </row>
    <row r="16" spans="1:34" ht="14.25" thickTop="1" thickBot="1" x14ac:dyDescent="0.25">
      <c r="A16" s="84"/>
      <c r="B16" s="189" t="s">
        <v>439</v>
      </c>
      <c r="C16" s="17"/>
      <c r="D16" s="419" t="str">
        <f>VLOOKUP($D$14,$K$66:$L$82,2)</f>
        <v xml:space="preserve">       49-9143-01</v>
      </c>
      <c r="E16" s="418"/>
      <c r="F16" s="23"/>
      <c r="G16" s="92"/>
      <c r="I16" s="238"/>
      <c r="N16" s="23"/>
      <c r="O16" s="237"/>
      <c r="R16" s="21"/>
      <c r="X16" s="85"/>
    </row>
    <row r="17" spans="1:24" ht="13.5" thickTop="1" x14ac:dyDescent="0.2">
      <c r="A17" s="84"/>
      <c r="B17" s="238"/>
      <c r="C17" s="17"/>
      <c r="D17" s="238"/>
      <c r="E17" s="238"/>
      <c r="F17" s="23"/>
      <c r="G17" s="92"/>
      <c r="I17" s="238"/>
      <c r="N17" s="23"/>
      <c r="O17" s="237"/>
      <c r="R17" s="21"/>
      <c r="X17" s="85"/>
    </row>
    <row r="18" spans="1:24" x14ac:dyDescent="0.2">
      <c r="A18" s="84"/>
      <c r="B18" s="238"/>
      <c r="C18" s="17"/>
      <c r="D18" s="238"/>
      <c r="E18" s="238"/>
      <c r="F18" s="23"/>
      <c r="G18" s="92"/>
      <c r="I18" s="238"/>
      <c r="N18" s="23"/>
      <c r="O18" s="237"/>
      <c r="R18" s="21"/>
      <c r="X18" s="85"/>
    </row>
    <row r="19" spans="1:24" x14ac:dyDescent="0.2">
      <c r="A19" s="84"/>
      <c r="B19" s="238"/>
      <c r="C19" s="17"/>
      <c r="D19" s="238"/>
      <c r="E19" s="238"/>
      <c r="F19" s="23"/>
      <c r="G19" s="92"/>
      <c r="I19" s="238"/>
      <c r="N19" s="23"/>
      <c r="O19" s="237"/>
      <c r="R19" s="21"/>
      <c r="X19" s="85"/>
    </row>
    <row r="20" spans="1:24" x14ac:dyDescent="0.2">
      <c r="A20" s="84"/>
      <c r="B20" s="189"/>
      <c r="C20" s="189"/>
      <c r="D20" s="189"/>
      <c r="E20" s="189"/>
      <c r="F20" s="189"/>
      <c r="G20" s="92"/>
      <c r="I20" s="238"/>
      <c r="N20" s="23"/>
      <c r="O20" s="237"/>
      <c r="R20" s="21"/>
      <c r="X20" s="85"/>
    </row>
    <row r="21" spans="1:24" x14ac:dyDescent="0.2">
      <c r="A21" s="84"/>
      <c r="B21" s="189"/>
      <c r="C21" s="189"/>
      <c r="D21" s="189"/>
      <c r="E21" s="189"/>
      <c r="F21" s="189"/>
      <c r="G21" s="92"/>
      <c r="I21" s="238"/>
      <c r="N21" s="23"/>
      <c r="O21" s="237"/>
      <c r="R21" s="21"/>
      <c r="X21" s="85"/>
    </row>
    <row r="22" spans="1:24" x14ac:dyDescent="0.2">
      <c r="A22" s="84"/>
      <c r="B22" s="189"/>
      <c r="C22" s="189"/>
      <c r="D22" s="189"/>
      <c r="E22" s="189"/>
      <c r="F22" s="189"/>
      <c r="G22" s="92"/>
      <c r="I22" s="238"/>
      <c r="N22" s="23"/>
      <c r="O22" s="237"/>
      <c r="R22" s="21"/>
      <c r="X22" s="85"/>
    </row>
    <row r="23" spans="1:24" x14ac:dyDescent="0.2">
      <c r="A23" s="84"/>
      <c r="B23" s="189"/>
      <c r="C23" s="189"/>
      <c r="D23" s="189"/>
      <c r="E23" s="189"/>
      <c r="F23" s="189"/>
      <c r="G23" s="92"/>
      <c r="I23" s="238"/>
      <c r="N23" s="23"/>
      <c r="O23" s="237"/>
      <c r="R23" s="21"/>
      <c r="X23" s="85"/>
    </row>
    <row r="24" spans="1:24" x14ac:dyDescent="0.2">
      <c r="A24" s="84"/>
      <c r="B24" s="17"/>
      <c r="C24" s="17"/>
      <c r="D24" s="238"/>
      <c r="E24" s="238"/>
      <c r="F24" s="23"/>
      <c r="G24" s="92"/>
      <c r="I24" s="238"/>
      <c r="R24" s="21"/>
      <c r="X24" s="86"/>
    </row>
    <row r="25" spans="1:24" hidden="1" x14ac:dyDescent="0.2">
      <c r="A25" s="30"/>
      <c r="B25" s="23"/>
      <c r="C25" s="127"/>
      <c r="D25" s="248" t="s">
        <v>332</v>
      </c>
      <c r="E25" s="248"/>
      <c r="F25" s="248"/>
      <c r="G25" s="248"/>
      <c r="H25" s="248"/>
      <c r="I25" s="248" t="s">
        <v>333</v>
      </c>
      <c r="J25" s="248"/>
      <c r="K25" s="248"/>
      <c r="L25" s="248"/>
      <c r="M25" s="248"/>
      <c r="N25" s="248"/>
      <c r="O25" s="249"/>
      <c r="P25" s="249"/>
      <c r="Q25" s="249"/>
      <c r="R25" s="250"/>
      <c r="S25" s="23"/>
      <c r="X25" s="4"/>
    </row>
    <row r="26" spans="1:24" hidden="1" x14ac:dyDescent="0.2">
      <c r="A26" s="84" t="s">
        <v>311</v>
      </c>
      <c r="B26" s="17" t="s">
        <v>334</v>
      </c>
      <c r="C26" s="17" t="s">
        <v>335</v>
      </c>
      <c r="D26" s="248" t="s">
        <v>336</v>
      </c>
      <c r="E26" s="248" t="s">
        <v>337</v>
      </c>
      <c r="F26" s="251" t="s">
        <v>308</v>
      </c>
      <c r="G26" s="251" t="s">
        <v>338</v>
      </c>
      <c r="H26" s="251" t="s">
        <v>339</v>
      </c>
      <c r="I26" s="248" t="s">
        <v>338</v>
      </c>
      <c r="J26" s="248" t="s">
        <v>309</v>
      </c>
      <c r="K26" s="251" t="s">
        <v>335</v>
      </c>
      <c r="L26" s="251" t="s">
        <v>308</v>
      </c>
      <c r="M26" s="251" t="s">
        <v>310</v>
      </c>
      <c r="N26" s="252" t="s">
        <v>340</v>
      </c>
      <c r="O26" s="251" t="s">
        <v>341</v>
      </c>
      <c r="P26" s="251" t="s">
        <v>308</v>
      </c>
      <c r="Q26" s="251" t="s">
        <v>310</v>
      </c>
      <c r="R26" s="253" t="s">
        <v>339</v>
      </c>
      <c r="X26" s="86"/>
    </row>
    <row r="27" spans="1:24" hidden="1" x14ac:dyDescent="0.2">
      <c r="A27" s="84" t="s">
        <v>34</v>
      </c>
      <c r="B27" s="17" t="s">
        <v>330</v>
      </c>
      <c r="C27" s="17" t="s">
        <v>342</v>
      </c>
      <c r="D27" s="248" t="s">
        <v>330</v>
      </c>
      <c r="E27" s="248" t="s">
        <v>299</v>
      </c>
      <c r="F27" s="251"/>
      <c r="G27" s="251" t="s">
        <v>330</v>
      </c>
      <c r="H27" s="251" t="s">
        <v>343</v>
      </c>
      <c r="I27" s="248" t="s">
        <v>330</v>
      </c>
      <c r="J27" s="248" t="s">
        <v>299</v>
      </c>
      <c r="K27" s="251" t="s">
        <v>342</v>
      </c>
      <c r="L27" s="251"/>
      <c r="M27" s="251" t="s">
        <v>306</v>
      </c>
      <c r="N27" s="252" t="s">
        <v>344</v>
      </c>
      <c r="O27" s="251" t="s">
        <v>336</v>
      </c>
      <c r="P27" s="251"/>
      <c r="Q27" s="251" t="s">
        <v>306</v>
      </c>
      <c r="R27" s="253" t="s">
        <v>343</v>
      </c>
      <c r="U27" s="254"/>
    </row>
    <row r="28" spans="1:24" hidden="1" x14ac:dyDescent="0.2">
      <c r="A28" s="84" t="s">
        <v>300</v>
      </c>
      <c r="B28" s="89"/>
      <c r="C28" s="17"/>
      <c r="D28" s="255" t="s">
        <v>345</v>
      </c>
      <c r="E28" s="248"/>
      <c r="F28" s="251" t="s">
        <v>328</v>
      </c>
      <c r="G28" s="251" t="s">
        <v>328</v>
      </c>
      <c r="H28" s="251"/>
      <c r="I28" s="255" t="s">
        <v>346</v>
      </c>
      <c r="J28" s="248"/>
      <c r="K28" s="251"/>
      <c r="L28" s="251" t="s">
        <v>328</v>
      </c>
      <c r="M28" s="251" t="s">
        <v>347</v>
      </c>
      <c r="N28" s="252"/>
      <c r="O28" s="251" t="s">
        <v>330</v>
      </c>
      <c r="P28" s="251" t="s">
        <v>328</v>
      </c>
      <c r="Q28" s="251" t="s">
        <v>347</v>
      </c>
      <c r="R28" s="253"/>
      <c r="U28" s="254"/>
      <c r="X28" s="86"/>
    </row>
    <row r="29" spans="1:24" hidden="1" x14ac:dyDescent="0.2">
      <c r="A29" s="213"/>
      <c r="B29" s="89"/>
      <c r="C29" s="89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56"/>
      <c r="O29" s="17"/>
      <c r="Q29" s="17"/>
      <c r="R29" s="21"/>
      <c r="U29" s="254"/>
    </row>
    <row r="30" spans="1:24" hidden="1" x14ac:dyDescent="0.2">
      <c r="A30" s="257">
        <v>50</v>
      </c>
      <c r="B30" s="258" t="s">
        <v>575</v>
      </c>
      <c r="C30" s="259">
        <v>1</v>
      </c>
      <c r="D30" s="260">
        <f t="shared" ref="D30:D44" si="0">IF($D$5/$C30&lt;3.8,D29,VLOOKUP(($D$5/$C30),$D$55:$F$99,1)*$C30)</f>
        <v>45</v>
      </c>
      <c r="E30" s="261">
        <f t="shared" ref="E30:E44" si="1">IF($D$5/$C30&lt;3.8,E29,VLOOKUP(($D$5/$C30),$D$55:$F$99,2))</f>
        <v>49</v>
      </c>
      <c r="F30" s="262" t="str">
        <f t="shared" ref="F30:F44" si="2">IF($D$5/$C30&lt;3.8,F29,VLOOKUP(($D$5/$C30),$D$55:$F$99,3))</f>
        <v>52-66407H</v>
      </c>
      <c r="G30" s="263">
        <f t="shared" ref="G30:G44" si="3">IF($D$5/$C30&lt;3.8,G29,VLOOKUP(($D$5/$C30),$D$55:$F$99,1))</f>
        <v>45</v>
      </c>
      <c r="H30" s="264">
        <f t="shared" ref="H30:H44" si="4">D30/$D$5-1</f>
        <v>-0.99099999999999999</v>
      </c>
      <c r="I30" s="265">
        <f t="shared" ref="I30:I44" si="5">$K30*M30+$N30*Q30</f>
        <v>45</v>
      </c>
      <c r="J30" s="266">
        <f>VLOOKUP(($D$5/$C30),$D$55:$I$99,5)</f>
        <v>49</v>
      </c>
      <c r="K30" s="267">
        <f>C30</f>
        <v>1</v>
      </c>
      <c r="L30" s="267" t="str">
        <f>VLOOKUP(($D$5/$C30),$D$55:$I$99,6)</f>
        <v>52-66407H</v>
      </c>
      <c r="M30" s="268">
        <f>VLOOKUP(($D$5/$C30),$D$55:$I$99,4)</f>
        <v>45</v>
      </c>
      <c r="N30" s="252">
        <v>0</v>
      </c>
      <c r="O30" s="269">
        <f>($D$5-(K30*M30))</f>
        <v>4955</v>
      </c>
      <c r="P30" s="251">
        <v>0</v>
      </c>
      <c r="Q30" s="270">
        <v>0</v>
      </c>
      <c r="R30" s="271">
        <f t="shared" ref="R30:R44" si="6">I30/$D$5-1</f>
        <v>-0.99099999999999999</v>
      </c>
      <c r="T30" s="254"/>
      <c r="U30" s="254"/>
    </row>
    <row r="31" spans="1:24" hidden="1" x14ac:dyDescent="0.2">
      <c r="A31" s="84">
        <v>65</v>
      </c>
      <c r="B31" s="43" t="s">
        <v>575</v>
      </c>
      <c r="C31" s="17">
        <v>1</v>
      </c>
      <c r="D31" s="260">
        <f t="shared" si="0"/>
        <v>45</v>
      </c>
      <c r="E31" s="261">
        <f t="shared" si="1"/>
        <v>49</v>
      </c>
      <c r="F31" s="262" t="str">
        <f t="shared" si="2"/>
        <v>52-66407H</v>
      </c>
      <c r="G31" s="263">
        <f t="shared" si="3"/>
        <v>45</v>
      </c>
      <c r="H31" s="264">
        <f t="shared" si="4"/>
        <v>-0.99099999999999999</v>
      </c>
      <c r="I31" s="265">
        <f t="shared" si="5"/>
        <v>45</v>
      </c>
      <c r="J31" s="266">
        <f>VLOOKUP(($D$5/$C31),$D$55:$I$99,5)</f>
        <v>49</v>
      </c>
      <c r="K31" s="267">
        <f>C31</f>
        <v>1</v>
      </c>
      <c r="L31" s="267" t="str">
        <f>VLOOKUP(($D$5/$C31),$D$55:$I$99,6)</f>
        <v>52-66407H</v>
      </c>
      <c r="M31" s="268">
        <f>VLOOKUP(($D$5/$C31),$D$55:$I$99,4)</f>
        <v>45</v>
      </c>
      <c r="N31" s="252">
        <v>0</v>
      </c>
      <c r="O31" s="269">
        <f>($D$5-(K31*M31))</f>
        <v>4955</v>
      </c>
      <c r="P31" s="251">
        <v>0</v>
      </c>
      <c r="Q31" s="270">
        <v>0</v>
      </c>
      <c r="R31" s="271">
        <f t="shared" si="6"/>
        <v>-0.99099999999999999</v>
      </c>
      <c r="S31" s="85"/>
      <c r="U31" s="254"/>
    </row>
    <row r="32" spans="1:24" hidden="1" x14ac:dyDescent="0.2">
      <c r="A32" s="257">
        <v>80</v>
      </c>
      <c r="B32" s="258" t="s">
        <v>575</v>
      </c>
      <c r="C32" s="259">
        <v>1</v>
      </c>
      <c r="D32" s="260">
        <f t="shared" si="0"/>
        <v>45</v>
      </c>
      <c r="E32" s="261">
        <f t="shared" si="1"/>
        <v>49</v>
      </c>
      <c r="F32" s="262" t="str">
        <f t="shared" si="2"/>
        <v>52-66407H</v>
      </c>
      <c r="G32" s="263">
        <f t="shared" si="3"/>
        <v>45</v>
      </c>
      <c r="H32" s="264">
        <f t="shared" si="4"/>
        <v>-0.99099999999999999</v>
      </c>
      <c r="I32" s="265">
        <f t="shared" si="5"/>
        <v>45</v>
      </c>
      <c r="J32" s="266">
        <f>VLOOKUP(($D$5/$C32),$D$55:$I$99,5)</f>
        <v>49</v>
      </c>
      <c r="K32" s="267">
        <f>C32</f>
        <v>1</v>
      </c>
      <c r="L32" s="267" t="str">
        <f>VLOOKUP(($D$5/$C32),$D$55:$I$99,6)</f>
        <v>52-66407H</v>
      </c>
      <c r="M32" s="268">
        <f>VLOOKUP(($D$5/$C32),$D$55:$I$99,4)</f>
        <v>45</v>
      </c>
      <c r="N32" s="252">
        <v>0</v>
      </c>
      <c r="O32" s="269">
        <f>($D$5-(K32*M32))</f>
        <v>4955</v>
      </c>
      <c r="P32" s="251">
        <v>0</v>
      </c>
      <c r="Q32" s="270">
        <v>0</v>
      </c>
      <c r="R32" s="271">
        <f t="shared" si="6"/>
        <v>-0.99099999999999999</v>
      </c>
      <c r="S32" s="85"/>
    </row>
    <row r="33" spans="1:23" hidden="1" x14ac:dyDescent="0.2">
      <c r="A33" s="84">
        <v>100</v>
      </c>
      <c r="B33" s="43" t="s">
        <v>576</v>
      </c>
      <c r="C33" s="17">
        <v>2</v>
      </c>
      <c r="D33" s="260">
        <f t="shared" si="0"/>
        <v>90</v>
      </c>
      <c r="E33" s="261">
        <f t="shared" si="1"/>
        <v>49</v>
      </c>
      <c r="F33" s="262" t="str">
        <f t="shared" si="2"/>
        <v>52-66407H</v>
      </c>
      <c r="G33" s="263">
        <f t="shared" si="3"/>
        <v>45</v>
      </c>
      <c r="H33" s="264">
        <f t="shared" si="4"/>
        <v>-0.98199999999999998</v>
      </c>
      <c r="I33" s="265">
        <f t="shared" si="5"/>
        <v>90</v>
      </c>
      <c r="J33" s="272">
        <f t="shared" ref="J33:J44" si="7">IF($D$5/$C33&lt;3.8,J32,VLOOKUP(($D$5/$C33),$D$55:$I$99,5))</f>
        <v>49</v>
      </c>
      <c r="K33" s="252">
        <f>IF($D$5/$C33&lt;3.8,K32,C33-1)</f>
        <v>1</v>
      </c>
      <c r="L33" s="268" t="str">
        <f t="shared" ref="L33:L44" si="8">IF($D$5/$C33&lt;3.8,L32,VLOOKUP(($D$5/$C33),$D$55:$I$99,6))</f>
        <v>52-66407H</v>
      </c>
      <c r="M33" s="268">
        <f t="shared" ref="M33:M44" si="9">IF($D$5/$C33&lt;3.8,M32,VLOOKUP(($D$5/$C33),$D$55:$I$99,4))</f>
        <v>45</v>
      </c>
      <c r="N33" s="252">
        <f t="shared" ref="N33:N44" si="10">IF($D$5/$C33&lt;3.8,N32,C33-K33)</f>
        <v>1</v>
      </c>
      <c r="O33" s="269">
        <f t="shared" ref="O33:O44" si="11">IF($N$33=0,O32,($D$5-(K33*M33))/N33)</f>
        <v>4955</v>
      </c>
      <c r="P33" s="251" t="str">
        <f t="shared" ref="P33:P44" si="12">IF($O33&lt;0,P32,((VLOOKUP(($O33),$D$55:$I$99,6))))</f>
        <v>52-66407H</v>
      </c>
      <c r="Q33" s="270">
        <f t="shared" ref="Q33:Q44" si="13">IF($O33&lt;0,Q32,((VLOOKUP(($O33),$D$55:$I$99,4))))</f>
        <v>45</v>
      </c>
      <c r="R33" s="271">
        <f t="shared" si="6"/>
        <v>-0.98199999999999998</v>
      </c>
      <c r="S33" s="86"/>
    </row>
    <row r="34" spans="1:23" hidden="1" x14ac:dyDescent="0.2">
      <c r="A34" s="257">
        <v>125</v>
      </c>
      <c r="B34" s="258" t="s">
        <v>577</v>
      </c>
      <c r="C34" s="259">
        <v>3</v>
      </c>
      <c r="D34" s="260">
        <f t="shared" si="0"/>
        <v>135</v>
      </c>
      <c r="E34" s="261">
        <f t="shared" si="1"/>
        <v>49</v>
      </c>
      <c r="F34" s="262" t="str">
        <f t="shared" si="2"/>
        <v>52-66407H</v>
      </c>
      <c r="G34" s="263">
        <f t="shared" si="3"/>
        <v>45</v>
      </c>
      <c r="H34" s="264">
        <f t="shared" si="4"/>
        <v>-0.97299999999999998</v>
      </c>
      <c r="I34" s="265">
        <f t="shared" si="5"/>
        <v>135</v>
      </c>
      <c r="J34" s="272">
        <f t="shared" si="7"/>
        <v>49</v>
      </c>
      <c r="K34" s="252">
        <f>IF($D$5/$C34&lt;3.8,K33,C34-1)</f>
        <v>2</v>
      </c>
      <c r="L34" s="268" t="str">
        <f t="shared" si="8"/>
        <v>52-66407H</v>
      </c>
      <c r="M34" s="268">
        <f t="shared" si="9"/>
        <v>45</v>
      </c>
      <c r="N34" s="252">
        <f t="shared" si="10"/>
        <v>1</v>
      </c>
      <c r="O34" s="269">
        <f t="shared" si="11"/>
        <v>4910</v>
      </c>
      <c r="P34" s="251" t="str">
        <f t="shared" si="12"/>
        <v>52-66407H</v>
      </c>
      <c r="Q34" s="270">
        <f t="shared" si="13"/>
        <v>45</v>
      </c>
      <c r="R34" s="271">
        <f t="shared" si="6"/>
        <v>-0.97299999999999998</v>
      </c>
      <c r="S34" s="4"/>
    </row>
    <row r="35" spans="1:23" hidden="1" x14ac:dyDescent="0.2">
      <c r="A35" s="84">
        <v>150</v>
      </c>
      <c r="B35" s="43" t="s">
        <v>578</v>
      </c>
      <c r="C35" s="17">
        <v>4</v>
      </c>
      <c r="D35" s="260">
        <f t="shared" si="0"/>
        <v>180</v>
      </c>
      <c r="E35" s="261">
        <f t="shared" si="1"/>
        <v>49</v>
      </c>
      <c r="F35" s="262" t="str">
        <f t="shared" si="2"/>
        <v>52-66407H</v>
      </c>
      <c r="G35" s="263">
        <f t="shared" si="3"/>
        <v>45</v>
      </c>
      <c r="H35" s="264">
        <f t="shared" si="4"/>
        <v>-0.96399999999999997</v>
      </c>
      <c r="I35" s="265">
        <f t="shared" si="5"/>
        <v>180</v>
      </c>
      <c r="J35" s="272">
        <f t="shared" si="7"/>
        <v>49</v>
      </c>
      <c r="K35" s="252">
        <f>IF($D$5/$C35&lt;3.8,K34,C35-1)</f>
        <v>3</v>
      </c>
      <c r="L35" s="268" t="str">
        <f t="shared" si="8"/>
        <v>52-66407H</v>
      </c>
      <c r="M35" s="268">
        <f t="shared" si="9"/>
        <v>45</v>
      </c>
      <c r="N35" s="252">
        <f t="shared" si="10"/>
        <v>1</v>
      </c>
      <c r="O35" s="269">
        <f t="shared" si="11"/>
        <v>4865</v>
      </c>
      <c r="P35" s="251" t="str">
        <f t="shared" si="12"/>
        <v>52-66407H</v>
      </c>
      <c r="Q35" s="270">
        <f t="shared" si="13"/>
        <v>45</v>
      </c>
      <c r="R35" s="271">
        <f t="shared" si="6"/>
        <v>-0.96399999999999997</v>
      </c>
      <c r="S35" s="86"/>
    </row>
    <row r="36" spans="1:23" hidden="1" x14ac:dyDescent="0.2">
      <c r="A36" s="257">
        <v>200</v>
      </c>
      <c r="B36" s="258" t="s">
        <v>579</v>
      </c>
      <c r="C36" s="259">
        <v>7</v>
      </c>
      <c r="D36" s="260">
        <f t="shared" si="0"/>
        <v>315</v>
      </c>
      <c r="E36" s="261">
        <f t="shared" si="1"/>
        <v>49</v>
      </c>
      <c r="F36" s="262" t="str">
        <f t="shared" si="2"/>
        <v>52-66407H</v>
      </c>
      <c r="G36" s="263">
        <f t="shared" si="3"/>
        <v>45</v>
      </c>
      <c r="H36" s="264">
        <f t="shared" si="4"/>
        <v>-0.93700000000000006</v>
      </c>
      <c r="I36" s="265">
        <f t="shared" si="5"/>
        <v>315</v>
      </c>
      <c r="J36" s="272">
        <f t="shared" si="7"/>
        <v>49</v>
      </c>
      <c r="K36" s="252">
        <f>IF($D$5/$C36&lt;3.8,K35,C36-1)</f>
        <v>6</v>
      </c>
      <c r="L36" s="268" t="str">
        <f t="shared" si="8"/>
        <v>52-66407H</v>
      </c>
      <c r="M36" s="268">
        <f t="shared" si="9"/>
        <v>45</v>
      </c>
      <c r="N36" s="252">
        <f t="shared" si="10"/>
        <v>1</v>
      </c>
      <c r="O36" s="269">
        <f t="shared" si="11"/>
        <v>4730</v>
      </c>
      <c r="P36" s="251" t="str">
        <f t="shared" si="12"/>
        <v>52-66407H</v>
      </c>
      <c r="Q36" s="270">
        <f t="shared" si="13"/>
        <v>45</v>
      </c>
      <c r="R36" s="271">
        <f t="shared" si="6"/>
        <v>-0.93700000000000006</v>
      </c>
    </row>
    <row r="37" spans="1:23" hidden="1" x14ac:dyDescent="0.2">
      <c r="A37" s="84">
        <v>250</v>
      </c>
      <c r="B37" s="43" t="s">
        <v>580</v>
      </c>
      <c r="C37" s="17">
        <v>12</v>
      </c>
      <c r="D37" s="260">
        <f t="shared" si="0"/>
        <v>540</v>
      </c>
      <c r="E37" s="261">
        <f t="shared" si="1"/>
        <v>49</v>
      </c>
      <c r="F37" s="262" t="str">
        <f t="shared" si="2"/>
        <v>52-66407H</v>
      </c>
      <c r="G37" s="263">
        <f t="shared" si="3"/>
        <v>45</v>
      </c>
      <c r="H37" s="264">
        <f t="shared" si="4"/>
        <v>-0.89200000000000002</v>
      </c>
      <c r="I37" s="265">
        <f t="shared" si="5"/>
        <v>540</v>
      </c>
      <c r="J37" s="272">
        <f t="shared" si="7"/>
        <v>49</v>
      </c>
      <c r="K37" s="252">
        <f>IF($D$5/$C37&lt;3.8,K36,C37-2)</f>
        <v>10</v>
      </c>
      <c r="L37" s="268" t="str">
        <f t="shared" si="8"/>
        <v>52-66407H</v>
      </c>
      <c r="M37" s="268">
        <f t="shared" si="9"/>
        <v>45</v>
      </c>
      <c r="N37" s="252">
        <f t="shared" si="10"/>
        <v>2</v>
      </c>
      <c r="O37" s="269">
        <f t="shared" si="11"/>
        <v>2275</v>
      </c>
      <c r="P37" s="251" t="str">
        <f t="shared" si="12"/>
        <v>52-66407H</v>
      </c>
      <c r="Q37" s="270">
        <f t="shared" si="13"/>
        <v>45</v>
      </c>
      <c r="R37" s="271">
        <f t="shared" si="6"/>
        <v>-0.89200000000000002</v>
      </c>
      <c r="S37" s="86"/>
    </row>
    <row r="38" spans="1:23" hidden="1" x14ac:dyDescent="0.2">
      <c r="A38" s="257">
        <v>300</v>
      </c>
      <c r="B38" s="258" t="s">
        <v>581</v>
      </c>
      <c r="C38" s="259">
        <v>15</v>
      </c>
      <c r="D38" s="260">
        <f t="shared" si="0"/>
        <v>675</v>
      </c>
      <c r="E38" s="261">
        <f t="shared" si="1"/>
        <v>49</v>
      </c>
      <c r="F38" s="262" t="str">
        <f t="shared" si="2"/>
        <v>52-66407H</v>
      </c>
      <c r="G38" s="263">
        <f t="shared" si="3"/>
        <v>45</v>
      </c>
      <c r="H38" s="264">
        <f t="shared" si="4"/>
        <v>-0.86499999999999999</v>
      </c>
      <c r="I38" s="265">
        <f t="shared" si="5"/>
        <v>675</v>
      </c>
      <c r="J38" s="272">
        <f t="shared" si="7"/>
        <v>49</v>
      </c>
      <c r="K38" s="252">
        <f>IF($D$5/$C38&lt;3.8,K37,C38-2)</f>
        <v>13</v>
      </c>
      <c r="L38" s="268" t="str">
        <f t="shared" si="8"/>
        <v>52-66407H</v>
      </c>
      <c r="M38" s="268">
        <f t="shared" si="9"/>
        <v>45</v>
      </c>
      <c r="N38" s="252">
        <f t="shared" si="10"/>
        <v>2</v>
      </c>
      <c r="O38" s="269">
        <f t="shared" si="11"/>
        <v>2207.5</v>
      </c>
      <c r="P38" s="251" t="str">
        <f t="shared" si="12"/>
        <v>52-66407H</v>
      </c>
      <c r="Q38" s="270">
        <f t="shared" si="13"/>
        <v>45</v>
      </c>
      <c r="R38" s="271">
        <f t="shared" si="6"/>
        <v>-0.86499999999999999</v>
      </c>
      <c r="S38" s="4"/>
    </row>
    <row r="39" spans="1:23" hidden="1" x14ac:dyDescent="0.2">
      <c r="A39" s="84">
        <v>350</v>
      </c>
      <c r="B39" s="43" t="s">
        <v>582</v>
      </c>
      <c r="C39" s="17">
        <v>19</v>
      </c>
      <c r="D39" s="260">
        <f t="shared" si="0"/>
        <v>855</v>
      </c>
      <c r="E39" s="261">
        <f t="shared" si="1"/>
        <v>49</v>
      </c>
      <c r="F39" s="262" t="str">
        <f t="shared" si="2"/>
        <v>52-66407H</v>
      </c>
      <c r="G39" s="263">
        <f t="shared" si="3"/>
        <v>45</v>
      </c>
      <c r="H39" s="264">
        <f t="shared" si="4"/>
        <v>-0.82899999999999996</v>
      </c>
      <c r="I39" s="265">
        <f t="shared" si="5"/>
        <v>855</v>
      </c>
      <c r="J39" s="272">
        <f t="shared" si="7"/>
        <v>49</v>
      </c>
      <c r="K39" s="252">
        <f>IF($D$5/$C39&lt;3.8,K38,C39-3)</f>
        <v>16</v>
      </c>
      <c r="L39" s="268" t="str">
        <f t="shared" si="8"/>
        <v>52-66407H</v>
      </c>
      <c r="M39" s="268">
        <f t="shared" si="9"/>
        <v>45</v>
      </c>
      <c r="N39" s="252">
        <f t="shared" si="10"/>
        <v>3</v>
      </c>
      <c r="O39" s="269">
        <f t="shared" si="11"/>
        <v>1426.6666666666667</v>
      </c>
      <c r="P39" s="251" t="str">
        <f t="shared" si="12"/>
        <v>52-66407H</v>
      </c>
      <c r="Q39" s="270">
        <f t="shared" si="13"/>
        <v>45</v>
      </c>
      <c r="R39" s="271">
        <f t="shared" si="6"/>
        <v>-0.82899999999999996</v>
      </c>
      <c r="S39" s="4"/>
      <c r="T39" s="92"/>
      <c r="U39" s="92"/>
      <c r="V39" s="23"/>
      <c r="W39" s="93"/>
    </row>
    <row r="40" spans="1:23" hidden="1" x14ac:dyDescent="0.2">
      <c r="A40" s="257">
        <v>400</v>
      </c>
      <c r="B40" s="258" t="s">
        <v>583</v>
      </c>
      <c r="C40" s="259">
        <v>26</v>
      </c>
      <c r="D40" s="260">
        <f t="shared" si="0"/>
        <v>1170</v>
      </c>
      <c r="E40" s="261">
        <f t="shared" si="1"/>
        <v>49</v>
      </c>
      <c r="F40" s="262" t="str">
        <f t="shared" si="2"/>
        <v>52-66407H</v>
      </c>
      <c r="G40" s="263">
        <f t="shared" si="3"/>
        <v>45</v>
      </c>
      <c r="H40" s="264">
        <f t="shared" si="4"/>
        <v>-0.76600000000000001</v>
      </c>
      <c r="I40" s="265">
        <f t="shared" si="5"/>
        <v>1170</v>
      </c>
      <c r="J40" s="272">
        <f t="shared" si="7"/>
        <v>49</v>
      </c>
      <c r="K40" s="252">
        <f>IF($D$5/$C40&lt;3.8,K39,C40-5)</f>
        <v>21</v>
      </c>
      <c r="L40" s="268" t="str">
        <f t="shared" si="8"/>
        <v>52-66407H</v>
      </c>
      <c r="M40" s="268">
        <f t="shared" si="9"/>
        <v>45</v>
      </c>
      <c r="N40" s="252">
        <f t="shared" si="10"/>
        <v>5</v>
      </c>
      <c r="O40" s="269">
        <f t="shared" si="11"/>
        <v>811</v>
      </c>
      <c r="P40" s="251" t="str">
        <f t="shared" si="12"/>
        <v>52-66407H</v>
      </c>
      <c r="Q40" s="270">
        <f t="shared" si="13"/>
        <v>45</v>
      </c>
      <c r="R40" s="271">
        <f t="shared" si="6"/>
        <v>-0.76600000000000001</v>
      </c>
      <c r="S40" s="4"/>
      <c r="T40" s="92"/>
      <c r="U40" s="92"/>
      <c r="V40" s="23"/>
      <c r="W40" s="93"/>
    </row>
    <row r="41" spans="1:23" hidden="1" x14ac:dyDescent="0.2">
      <c r="A41" s="84">
        <v>450</v>
      </c>
      <c r="B41" s="43" t="s">
        <v>584</v>
      </c>
      <c r="C41" s="17">
        <v>33</v>
      </c>
      <c r="D41" s="260">
        <f t="shared" si="0"/>
        <v>1485</v>
      </c>
      <c r="E41" s="261">
        <f t="shared" si="1"/>
        <v>49</v>
      </c>
      <c r="F41" s="262" t="str">
        <f t="shared" si="2"/>
        <v>52-66407H</v>
      </c>
      <c r="G41" s="263">
        <f t="shared" si="3"/>
        <v>45</v>
      </c>
      <c r="H41" s="264">
        <f t="shared" si="4"/>
        <v>-0.70300000000000007</v>
      </c>
      <c r="I41" s="265">
        <f t="shared" si="5"/>
        <v>1485</v>
      </c>
      <c r="J41" s="272">
        <f t="shared" si="7"/>
        <v>49</v>
      </c>
      <c r="K41" s="252">
        <f>IF($D$5/$C41&lt;3.8,K40,C41-10)</f>
        <v>23</v>
      </c>
      <c r="L41" s="268" t="str">
        <f t="shared" si="8"/>
        <v>52-66407H</v>
      </c>
      <c r="M41" s="268">
        <f t="shared" si="9"/>
        <v>45</v>
      </c>
      <c r="N41" s="252">
        <f t="shared" si="10"/>
        <v>10</v>
      </c>
      <c r="O41" s="269">
        <f t="shared" si="11"/>
        <v>396.5</v>
      </c>
      <c r="P41" s="251" t="str">
        <f t="shared" si="12"/>
        <v>52-66407H</v>
      </c>
      <c r="Q41" s="270">
        <f t="shared" si="13"/>
        <v>45</v>
      </c>
      <c r="R41" s="271">
        <f t="shared" si="6"/>
        <v>-0.70300000000000007</v>
      </c>
      <c r="S41" s="4"/>
      <c r="T41" s="92"/>
      <c r="U41" s="92"/>
      <c r="V41" s="23"/>
      <c r="W41" s="273"/>
    </row>
    <row r="42" spans="1:23" hidden="1" x14ac:dyDescent="0.2">
      <c r="A42" s="257">
        <v>500</v>
      </c>
      <c r="B42" s="258" t="s">
        <v>585</v>
      </c>
      <c r="C42" s="259">
        <v>40</v>
      </c>
      <c r="D42" s="260">
        <f t="shared" si="0"/>
        <v>1800</v>
      </c>
      <c r="E42" s="261">
        <f t="shared" si="1"/>
        <v>49</v>
      </c>
      <c r="F42" s="262" t="str">
        <f t="shared" si="2"/>
        <v>52-66407H</v>
      </c>
      <c r="G42" s="263">
        <f t="shared" si="3"/>
        <v>45</v>
      </c>
      <c r="H42" s="264">
        <f t="shared" si="4"/>
        <v>-0.64</v>
      </c>
      <c r="I42" s="265">
        <f t="shared" si="5"/>
        <v>1800</v>
      </c>
      <c r="J42" s="272">
        <f t="shared" si="7"/>
        <v>49</v>
      </c>
      <c r="K42" s="252">
        <f>IF($D$5/$C42&lt;3.8,K41,C42-10)</f>
        <v>30</v>
      </c>
      <c r="L42" s="268" t="str">
        <f t="shared" si="8"/>
        <v>52-66407H</v>
      </c>
      <c r="M42" s="268">
        <f t="shared" si="9"/>
        <v>45</v>
      </c>
      <c r="N42" s="252">
        <f t="shared" si="10"/>
        <v>10</v>
      </c>
      <c r="O42" s="269">
        <f t="shared" si="11"/>
        <v>365</v>
      </c>
      <c r="P42" s="251" t="str">
        <f t="shared" si="12"/>
        <v>52-66407H</v>
      </c>
      <c r="Q42" s="270">
        <f t="shared" si="13"/>
        <v>45</v>
      </c>
      <c r="R42" s="271">
        <f t="shared" si="6"/>
        <v>-0.64</v>
      </c>
      <c r="S42" s="4"/>
      <c r="T42" s="92"/>
      <c r="U42" s="92"/>
      <c r="V42" s="23"/>
      <c r="W42" s="93"/>
    </row>
    <row r="43" spans="1:23" hidden="1" x14ac:dyDescent="0.2">
      <c r="A43" s="84">
        <v>600</v>
      </c>
      <c r="B43" s="43" t="s">
        <v>586</v>
      </c>
      <c r="C43" s="17">
        <v>56</v>
      </c>
      <c r="D43" s="260">
        <f t="shared" si="0"/>
        <v>2520</v>
      </c>
      <c r="E43" s="261">
        <f t="shared" si="1"/>
        <v>49</v>
      </c>
      <c r="F43" s="262" t="str">
        <f t="shared" si="2"/>
        <v>52-66407H</v>
      </c>
      <c r="G43" s="263">
        <f t="shared" si="3"/>
        <v>45</v>
      </c>
      <c r="H43" s="264">
        <f t="shared" si="4"/>
        <v>-0.496</v>
      </c>
      <c r="I43" s="265">
        <f t="shared" si="5"/>
        <v>2520</v>
      </c>
      <c r="J43" s="272">
        <f t="shared" si="7"/>
        <v>49</v>
      </c>
      <c r="K43" s="252">
        <f>IF($D$5/$C43&lt;3.8,K42,C43-15)</f>
        <v>41</v>
      </c>
      <c r="L43" s="268" t="str">
        <f t="shared" si="8"/>
        <v>52-66407H</v>
      </c>
      <c r="M43" s="268">
        <f t="shared" si="9"/>
        <v>45</v>
      </c>
      <c r="N43" s="252">
        <f t="shared" si="10"/>
        <v>15</v>
      </c>
      <c r="O43" s="269">
        <f t="shared" si="11"/>
        <v>210.33333333333334</v>
      </c>
      <c r="P43" s="251" t="str">
        <f t="shared" si="12"/>
        <v>52-66407H</v>
      </c>
      <c r="Q43" s="270">
        <f t="shared" si="13"/>
        <v>45</v>
      </c>
      <c r="R43" s="271">
        <f t="shared" si="6"/>
        <v>-0.496</v>
      </c>
      <c r="S43" s="4"/>
      <c r="T43" s="92"/>
      <c r="U43" s="92"/>
      <c r="V43" s="23"/>
      <c r="W43" s="93"/>
    </row>
    <row r="44" spans="1:23" hidden="1" x14ac:dyDescent="0.2">
      <c r="A44" s="257">
        <v>800</v>
      </c>
      <c r="B44" s="258" t="s">
        <v>587</v>
      </c>
      <c r="C44" s="259">
        <v>85</v>
      </c>
      <c r="D44" s="260">
        <f t="shared" si="0"/>
        <v>3825</v>
      </c>
      <c r="E44" s="261">
        <f t="shared" si="1"/>
        <v>49</v>
      </c>
      <c r="F44" s="262" t="str">
        <f t="shared" si="2"/>
        <v>52-66407H</v>
      </c>
      <c r="G44" s="263">
        <f t="shared" si="3"/>
        <v>45</v>
      </c>
      <c r="H44" s="264">
        <f t="shared" si="4"/>
        <v>-0.23499999999999999</v>
      </c>
      <c r="I44" s="265">
        <f t="shared" si="5"/>
        <v>3825</v>
      </c>
      <c r="J44" s="272">
        <f t="shared" si="7"/>
        <v>49</v>
      </c>
      <c r="K44" s="252">
        <f>IF($D$5/$C44&lt;3.8,K43,C44-20)</f>
        <v>65</v>
      </c>
      <c r="L44" s="268" t="str">
        <f t="shared" si="8"/>
        <v>52-66407H</v>
      </c>
      <c r="M44" s="268">
        <f t="shared" si="9"/>
        <v>45</v>
      </c>
      <c r="N44" s="252">
        <f t="shared" si="10"/>
        <v>20</v>
      </c>
      <c r="O44" s="269">
        <f t="shared" si="11"/>
        <v>103.75</v>
      </c>
      <c r="P44" s="251" t="str">
        <f t="shared" si="12"/>
        <v>52-66407H</v>
      </c>
      <c r="Q44" s="270">
        <f t="shared" si="13"/>
        <v>45</v>
      </c>
      <c r="R44" s="271">
        <f t="shared" si="6"/>
        <v>-0.23499999999999999</v>
      </c>
      <c r="S44" s="4"/>
    </row>
    <row r="45" spans="1:23" hidden="1" x14ac:dyDescent="0.2">
      <c r="A45" s="84">
        <v>900</v>
      </c>
      <c r="B45" s="43" t="s">
        <v>574</v>
      </c>
      <c r="C45" s="17">
        <v>112</v>
      </c>
      <c r="D45" s="260">
        <f t="shared" ref="D45:D46" si="14">IF($D$5/$C45&lt;3.8,D44,VLOOKUP(($D$5/$C45),$D$55:$F$99,1)*$C45)</f>
        <v>4592</v>
      </c>
      <c r="E45" s="261">
        <f t="shared" ref="E45:E46" si="15">IF($D$5/$C45&lt;3.8,E44,VLOOKUP(($D$5/$C45),$D$55:$F$99,2))</f>
        <v>46</v>
      </c>
      <c r="F45" s="262" t="str">
        <f t="shared" ref="F45:F46" si="16">IF($D$5/$C45&lt;3.8,F44,VLOOKUP(($D$5/$C45),$D$55:$F$99,3))</f>
        <v>52-66407</v>
      </c>
      <c r="G45" s="263">
        <f t="shared" ref="G45:G46" si="17">IF($D$5/$C45&lt;3.8,G44,VLOOKUP(($D$5/$C45),$D$55:$F$99,1))</f>
        <v>41</v>
      </c>
      <c r="H45" s="264">
        <f t="shared" ref="H45:H46" si="18">D45/$D$5-1</f>
        <v>-8.1600000000000006E-2</v>
      </c>
      <c r="I45" s="265">
        <f t="shared" ref="I45:I46" si="19">$K45*M45+$N45*Q45</f>
        <v>5040</v>
      </c>
      <c r="J45" s="272">
        <f t="shared" ref="J45:J46" si="20">IF($D$5/$C45&lt;3.8,J44,VLOOKUP(($D$5/$C45),$D$55:$I$99,5))</f>
        <v>49</v>
      </c>
      <c r="K45" s="252">
        <f t="shared" ref="K45:K46" si="21">IF($D$5/$C45&lt;3.8,K44,C45-20)</f>
        <v>92</v>
      </c>
      <c r="L45" s="268" t="str">
        <f t="shared" ref="L45:L46" si="22">IF($D$5/$C45&lt;3.8,L44,VLOOKUP(($D$5/$C45),$D$55:$I$99,6))</f>
        <v>52-66407H</v>
      </c>
      <c r="M45" s="268">
        <f t="shared" ref="M45:M46" si="23">IF($D$5/$C45&lt;3.8,M44,VLOOKUP(($D$5/$C45),$D$55:$I$99,4))</f>
        <v>45</v>
      </c>
      <c r="N45" s="252">
        <f t="shared" ref="N45:N46" si="24">IF($D$5/$C45&lt;3.8,N44,C45-K45)</f>
        <v>20</v>
      </c>
      <c r="O45" s="269">
        <f t="shared" ref="O45:O46" si="25">IF($N$33=0,O44,($D$5-(K45*M45))/N45)</f>
        <v>43</v>
      </c>
      <c r="P45" s="251" t="str">
        <f t="shared" ref="P45:P46" si="26">IF($O45&lt;0,P44,((VLOOKUP(($O45),$D$55:$I$99,6))))</f>
        <v>52-66407H</v>
      </c>
      <c r="Q45" s="270">
        <f t="shared" ref="Q45:Q46" si="27">IF($O45&lt;0,Q44,((VLOOKUP(($O45),$D$55:$I$99,4))))</f>
        <v>45</v>
      </c>
      <c r="R45" s="271">
        <f t="shared" ref="R45:R46" si="28">I45/$D$5-1</f>
        <v>8.0000000000000071E-3</v>
      </c>
      <c r="S45" s="4"/>
    </row>
    <row r="46" spans="1:23" hidden="1" x14ac:dyDescent="0.2">
      <c r="A46" s="257">
        <v>1000</v>
      </c>
      <c r="B46" s="258" t="s">
        <v>573</v>
      </c>
      <c r="C46" s="259">
        <v>136</v>
      </c>
      <c r="D46" s="260">
        <f t="shared" si="14"/>
        <v>4936.7999999999993</v>
      </c>
      <c r="E46" s="261">
        <f t="shared" si="15"/>
        <v>42</v>
      </c>
      <c r="F46" s="262" t="str">
        <f t="shared" si="16"/>
        <v>52-66393</v>
      </c>
      <c r="G46" s="263">
        <f t="shared" si="17"/>
        <v>36.299999999999997</v>
      </c>
      <c r="H46" s="264">
        <f t="shared" si="18"/>
        <v>-1.2640000000000096E-2</v>
      </c>
      <c r="I46" s="265">
        <f t="shared" si="19"/>
        <v>5019.2000000000007</v>
      </c>
      <c r="J46" s="272">
        <f t="shared" si="20"/>
        <v>43</v>
      </c>
      <c r="K46" s="252">
        <f t="shared" si="21"/>
        <v>116</v>
      </c>
      <c r="L46" s="268" t="str">
        <f t="shared" si="22"/>
        <v>52-66398</v>
      </c>
      <c r="M46" s="268">
        <f t="shared" si="23"/>
        <v>37.700000000000003</v>
      </c>
      <c r="N46" s="252">
        <f t="shared" si="24"/>
        <v>20</v>
      </c>
      <c r="O46" s="269">
        <f t="shared" si="25"/>
        <v>31.339999999999964</v>
      </c>
      <c r="P46" s="251" t="str">
        <f t="shared" si="26"/>
        <v>52-66379</v>
      </c>
      <c r="Q46" s="270">
        <f t="shared" si="27"/>
        <v>32.299999999999997</v>
      </c>
      <c r="R46" s="271">
        <f t="shared" si="28"/>
        <v>3.8400000000000656E-3</v>
      </c>
      <c r="S46" s="4"/>
    </row>
    <row r="47" spans="1:23" hidden="1" x14ac:dyDescent="0.2">
      <c r="A47" s="22"/>
      <c r="I47" s="23"/>
      <c r="J47" s="237"/>
      <c r="R47" s="21"/>
      <c r="S47" s="4"/>
    </row>
    <row r="48" spans="1:23" ht="12.75" hidden="1" customHeight="1" x14ac:dyDescent="0.2">
      <c r="A48" s="274"/>
      <c r="B48" s="275" t="s">
        <v>348</v>
      </c>
      <c r="D48" s="92"/>
      <c r="E48" s="92"/>
      <c r="I48" s="127" t="s">
        <v>349</v>
      </c>
      <c r="J48" s="275" t="s">
        <v>350</v>
      </c>
      <c r="K48" s="127"/>
      <c r="L48" s="127"/>
      <c r="M48" s="127"/>
      <c r="N48" s="127"/>
      <c r="O48" s="127"/>
      <c r="R48" s="21"/>
      <c r="S48" s="85"/>
    </row>
    <row r="49" spans="1:19" ht="12.75" hidden="1" customHeight="1" x14ac:dyDescent="0.2">
      <c r="A49" s="274"/>
      <c r="B49" s="276" t="s">
        <v>351</v>
      </c>
      <c r="C49" s="17"/>
      <c r="D49" s="227"/>
      <c r="M49" s="85" t="s">
        <v>352</v>
      </c>
      <c r="R49" s="21"/>
      <c r="S49" s="4"/>
    </row>
    <row r="50" spans="1:19" ht="12.75" hidden="1" customHeight="1" x14ac:dyDescent="0.2">
      <c r="A50" s="274"/>
      <c r="B50" s="275" t="s">
        <v>353</v>
      </c>
      <c r="C50" s="60"/>
      <c r="D50" s="60"/>
      <c r="E50" s="60"/>
      <c r="H50" s="60"/>
      <c r="I50" s="60"/>
      <c r="M50" s="86" t="s">
        <v>354</v>
      </c>
      <c r="R50" s="21"/>
      <c r="S50" s="4"/>
    </row>
    <row r="51" spans="1:19" ht="12.75" hidden="1" customHeight="1" x14ac:dyDescent="0.2">
      <c r="A51" s="277"/>
      <c r="C51" s="847" t="s">
        <v>355</v>
      </c>
      <c r="D51" s="847"/>
      <c r="E51" s="847"/>
      <c r="F51" s="847"/>
      <c r="G51" s="847"/>
      <c r="H51" s="847"/>
      <c r="I51" s="847"/>
      <c r="J51" s="127"/>
      <c r="R51" s="21"/>
      <c r="S51" s="4"/>
    </row>
    <row r="52" spans="1:19" ht="12.75" hidden="1" customHeight="1" x14ac:dyDescent="0.2">
      <c r="A52" s="278"/>
      <c r="C52" s="835" t="s">
        <v>268</v>
      </c>
      <c r="D52" s="835"/>
      <c r="E52" s="835"/>
      <c r="F52" s="835"/>
      <c r="G52" s="835" t="s">
        <v>267</v>
      </c>
      <c r="H52" s="835"/>
      <c r="I52" s="835"/>
      <c r="M52" t="s">
        <v>356</v>
      </c>
      <c r="R52" s="21"/>
      <c r="S52" s="4"/>
    </row>
    <row r="53" spans="1:19" ht="12.75" hidden="1" customHeight="1" x14ac:dyDescent="0.2">
      <c r="A53" s="277"/>
      <c r="B53" s="216"/>
      <c r="C53" s="60" t="s">
        <v>266</v>
      </c>
      <c r="D53" s="216" t="s">
        <v>330</v>
      </c>
      <c r="E53" s="60" t="s">
        <v>4</v>
      </c>
      <c r="F53" s="60"/>
      <c r="G53" s="216" t="s">
        <v>330</v>
      </c>
      <c r="H53" s="60" t="s">
        <v>4</v>
      </c>
      <c r="I53" s="60"/>
      <c r="K53" s="279"/>
      <c r="L53" s="275"/>
      <c r="R53" s="21"/>
      <c r="S53" s="4"/>
    </row>
    <row r="54" spans="1:19" ht="12.75" hidden="1" customHeight="1" x14ac:dyDescent="0.2">
      <c r="A54" s="22"/>
      <c r="C54" s="60"/>
      <c r="E54" s="60" t="s">
        <v>263</v>
      </c>
      <c r="F54" s="60" t="s">
        <v>265</v>
      </c>
      <c r="G54" s="60"/>
      <c r="H54" s="60" t="s">
        <v>263</v>
      </c>
      <c r="I54" s="60" t="s">
        <v>265</v>
      </c>
      <c r="M54" s="127" t="s">
        <v>357</v>
      </c>
      <c r="R54" s="21"/>
      <c r="S54" s="4"/>
    </row>
    <row r="55" spans="1:19" ht="12.75" hidden="1" customHeight="1" x14ac:dyDescent="0.2">
      <c r="A55" s="277"/>
      <c r="B55" s="280"/>
      <c r="C55" s="281"/>
      <c r="D55" s="280"/>
      <c r="E55" s="60"/>
      <c r="F55" s="60"/>
      <c r="G55" s="280">
        <f t="shared" ref="G55:I98" si="29">D56</f>
        <v>0</v>
      </c>
      <c r="H55" s="60"/>
      <c r="I55" s="60"/>
      <c r="R55" s="21"/>
      <c r="S55" s="4"/>
    </row>
    <row r="56" spans="1:19" ht="12.75" hidden="1" customHeight="1" x14ac:dyDescent="0.2">
      <c r="A56" s="278"/>
      <c r="B56" s="280"/>
      <c r="C56" s="282"/>
      <c r="D56" s="280">
        <v>0</v>
      </c>
      <c r="G56" s="280">
        <f t="shared" si="29"/>
        <v>3.8</v>
      </c>
      <c r="H56" s="282">
        <f t="shared" si="29"/>
        <v>13</v>
      </c>
      <c r="I56" s="280" t="str">
        <f t="shared" si="29"/>
        <v>52-55179</v>
      </c>
      <c r="K56" s="265">
        <f>D30</f>
        <v>45</v>
      </c>
      <c r="L56" s="127" t="s">
        <v>358</v>
      </c>
      <c r="M56" t="s">
        <v>348</v>
      </c>
      <c r="R56" s="21"/>
      <c r="S56" s="4"/>
    </row>
    <row r="57" spans="1:19" ht="12.75" hidden="1" customHeight="1" x14ac:dyDescent="0.2">
      <c r="A57" s="278"/>
      <c r="B57" s="280"/>
      <c r="C57" s="282">
        <v>3820</v>
      </c>
      <c r="D57" s="280">
        <v>3.8</v>
      </c>
      <c r="E57">
        <v>13</v>
      </c>
      <c r="F57" t="s">
        <v>359</v>
      </c>
      <c r="G57" s="280">
        <f t="shared" si="29"/>
        <v>3.9</v>
      </c>
      <c r="H57" s="282">
        <f t="shared" si="29"/>
        <v>13</v>
      </c>
      <c r="I57" s="280" t="str">
        <f t="shared" si="29"/>
        <v>52-55184</v>
      </c>
      <c r="K57" s="283">
        <f>E30</f>
        <v>49</v>
      </c>
      <c r="L57" s="127" t="s">
        <v>360</v>
      </c>
      <c r="M57" t="s">
        <v>361</v>
      </c>
      <c r="R57" s="21"/>
      <c r="S57" s="4"/>
    </row>
    <row r="58" spans="1:19" ht="12.75" hidden="1" customHeight="1" x14ac:dyDescent="0.2">
      <c r="A58" s="278"/>
      <c r="B58" s="280"/>
      <c r="C58">
        <v>3931</v>
      </c>
      <c r="D58" s="280">
        <v>3.9</v>
      </c>
      <c r="E58">
        <v>13</v>
      </c>
      <c r="F58" t="s">
        <v>362</v>
      </c>
      <c r="G58" s="280">
        <f t="shared" si="29"/>
        <v>4</v>
      </c>
      <c r="H58" s="282">
        <f t="shared" si="29"/>
        <v>13</v>
      </c>
      <c r="I58" s="280" t="str">
        <f t="shared" si="29"/>
        <v>52-55189</v>
      </c>
      <c r="K58" s="283" t="str">
        <f>F30</f>
        <v>52-66407H</v>
      </c>
      <c r="L58" s="127" t="s">
        <v>363</v>
      </c>
      <c r="M58" s="284" t="s">
        <v>364</v>
      </c>
      <c r="R58" s="21"/>
      <c r="S58" s="4"/>
    </row>
    <row r="59" spans="1:19" ht="12.75" hidden="1" customHeight="1" x14ac:dyDescent="0.2">
      <c r="A59" s="278"/>
      <c r="B59" s="280"/>
      <c r="C59">
        <v>4049</v>
      </c>
      <c r="D59" s="280">
        <v>4</v>
      </c>
      <c r="E59">
        <v>13</v>
      </c>
      <c r="F59" t="s">
        <v>365</v>
      </c>
      <c r="G59" s="280">
        <f t="shared" si="29"/>
        <v>4.2</v>
      </c>
      <c r="H59" s="282">
        <f t="shared" si="29"/>
        <v>13</v>
      </c>
      <c r="I59" s="280" t="str">
        <f t="shared" si="29"/>
        <v>52-55194</v>
      </c>
      <c r="K59" s="279">
        <f>G30</f>
        <v>45</v>
      </c>
      <c r="L59" s="127" t="s">
        <v>366</v>
      </c>
      <c r="M59" t="s">
        <v>367</v>
      </c>
      <c r="R59" s="21"/>
      <c r="S59" s="4"/>
    </row>
    <row r="60" spans="1:19" ht="12.75" hidden="1" customHeight="1" x14ac:dyDescent="0.2">
      <c r="A60" s="278"/>
      <c r="B60" s="280"/>
      <c r="C60">
        <v>4199</v>
      </c>
      <c r="D60" s="280">
        <v>4.2</v>
      </c>
      <c r="E60">
        <v>13</v>
      </c>
      <c r="F60" t="s">
        <v>368</v>
      </c>
      <c r="G60" s="280">
        <f t="shared" si="29"/>
        <v>4.4000000000000004</v>
      </c>
      <c r="H60" s="282">
        <f t="shared" si="29"/>
        <v>13</v>
      </c>
      <c r="I60" s="280" t="str">
        <f t="shared" si="29"/>
        <v>52-55200</v>
      </c>
      <c r="R60" s="21"/>
      <c r="S60" s="4"/>
    </row>
    <row r="61" spans="1:19" ht="12.75" hidden="1" customHeight="1" x14ac:dyDescent="0.2">
      <c r="A61" s="278"/>
      <c r="B61" s="280"/>
      <c r="C61">
        <v>4399</v>
      </c>
      <c r="D61" s="280">
        <v>4.4000000000000004</v>
      </c>
      <c r="E61">
        <v>13</v>
      </c>
      <c r="F61" t="s">
        <v>369</v>
      </c>
      <c r="G61" s="280">
        <f t="shared" si="29"/>
        <v>4.5999999999999996</v>
      </c>
      <c r="H61" s="282">
        <f t="shared" si="29"/>
        <v>14</v>
      </c>
      <c r="I61" s="280" t="str">
        <f t="shared" si="29"/>
        <v>52-55206</v>
      </c>
      <c r="R61" s="21"/>
      <c r="S61" s="4"/>
    </row>
    <row r="62" spans="1:19" ht="12.75" hidden="1" customHeight="1" x14ac:dyDescent="0.2">
      <c r="A62" s="278"/>
      <c r="B62" s="280"/>
      <c r="C62">
        <v>4640</v>
      </c>
      <c r="D62" s="280">
        <v>4.5999999999999996</v>
      </c>
      <c r="E62">
        <v>14</v>
      </c>
      <c r="F62" t="s">
        <v>370</v>
      </c>
      <c r="G62" s="280">
        <f t="shared" si="29"/>
        <v>5</v>
      </c>
      <c r="H62" s="282">
        <f t="shared" si="29"/>
        <v>14</v>
      </c>
      <c r="I62" s="280" t="str">
        <f t="shared" si="29"/>
        <v>52-55213</v>
      </c>
      <c r="K62" t="s">
        <v>371</v>
      </c>
      <c r="R62" s="21"/>
      <c r="S62" s="4"/>
    </row>
    <row r="63" spans="1:19" ht="12.75" hidden="1" customHeight="1" x14ac:dyDescent="0.2">
      <c r="A63" s="278"/>
      <c r="B63" s="280"/>
      <c r="C63">
        <v>4951</v>
      </c>
      <c r="D63" s="280">
        <v>5</v>
      </c>
      <c r="E63">
        <v>14</v>
      </c>
      <c r="F63" t="s">
        <v>372</v>
      </c>
      <c r="G63" s="280">
        <f t="shared" si="29"/>
        <v>5.3</v>
      </c>
      <c r="H63" s="282">
        <f t="shared" si="29"/>
        <v>14</v>
      </c>
      <c r="I63" s="280" t="str">
        <f t="shared" si="29"/>
        <v>52-55220</v>
      </c>
      <c r="K63" s="285"/>
      <c r="R63" s="21"/>
      <c r="S63" s="4"/>
    </row>
    <row r="64" spans="1:19" ht="12.75" hidden="1" customHeight="1" x14ac:dyDescent="0.2">
      <c r="A64" s="274"/>
      <c r="B64" s="280"/>
      <c r="C64">
        <v>5310</v>
      </c>
      <c r="D64" s="280">
        <v>5.3</v>
      </c>
      <c r="E64">
        <v>14</v>
      </c>
      <c r="F64" t="s">
        <v>373</v>
      </c>
      <c r="G64" s="280">
        <f t="shared" si="29"/>
        <v>5.7</v>
      </c>
      <c r="H64" s="282">
        <f t="shared" si="29"/>
        <v>14</v>
      </c>
      <c r="I64" s="280" t="str">
        <f t="shared" si="29"/>
        <v>52-55227</v>
      </c>
      <c r="K64" s="286"/>
      <c r="R64" s="21"/>
      <c r="S64" s="4"/>
    </row>
    <row r="65" spans="1:19" ht="12.75" hidden="1" customHeight="1" x14ac:dyDescent="0.2">
      <c r="A65" s="278"/>
      <c r="B65" s="280"/>
      <c r="C65">
        <v>5700</v>
      </c>
      <c r="D65" s="280">
        <v>5.7</v>
      </c>
      <c r="E65">
        <v>14</v>
      </c>
      <c r="F65" t="s">
        <v>374</v>
      </c>
      <c r="G65" s="280">
        <f t="shared" si="29"/>
        <v>6.2</v>
      </c>
      <c r="H65" s="282">
        <f t="shared" si="29"/>
        <v>14</v>
      </c>
      <c r="I65" s="280" t="str">
        <f t="shared" si="29"/>
        <v>52-55235</v>
      </c>
      <c r="K65" s="214" t="s">
        <v>300</v>
      </c>
      <c r="L65" s="286" t="s">
        <v>375</v>
      </c>
      <c r="R65" s="21"/>
      <c r="S65" s="4"/>
    </row>
    <row r="66" spans="1:19" ht="12.75" hidden="1" customHeight="1" x14ac:dyDescent="0.2">
      <c r="A66" s="278"/>
      <c r="B66" s="280"/>
      <c r="C66">
        <v>6209</v>
      </c>
      <c r="D66" s="280">
        <v>6.2</v>
      </c>
      <c r="E66">
        <v>14</v>
      </c>
      <c r="F66" t="s">
        <v>376</v>
      </c>
      <c r="G66" s="280">
        <f t="shared" si="29"/>
        <v>6.5</v>
      </c>
      <c r="H66" s="282">
        <f t="shared" si="29"/>
        <v>14</v>
      </c>
      <c r="I66" s="280" t="str">
        <f t="shared" si="29"/>
        <v>52-55243</v>
      </c>
      <c r="K66" s="259">
        <v>50</v>
      </c>
      <c r="L66" s="127" t="s">
        <v>377</v>
      </c>
      <c r="R66" s="21"/>
      <c r="S66" s="4"/>
    </row>
    <row r="67" spans="1:19" ht="12.75" hidden="1" customHeight="1" x14ac:dyDescent="0.2">
      <c r="A67" s="278"/>
      <c r="B67" s="280"/>
      <c r="C67">
        <v>6511</v>
      </c>
      <c r="D67" s="280">
        <v>6.5</v>
      </c>
      <c r="E67">
        <v>14</v>
      </c>
      <c r="F67" t="s">
        <v>378</v>
      </c>
      <c r="G67" s="280">
        <f t="shared" si="29"/>
        <v>7.1</v>
      </c>
      <c r="H67" s="282">
        <f t="shared" si="29"/>
        <v>14</v>
      </c>
      <c r="I67" s="280" t="str">
        <f t="shared" si="29"/>
        <v>52-55251</v>
      </c>
      <c r="K67" s="17">
        <v>65</v>
      </c>
      <c r="L67" s="276" t="s">
        <v>379</v>
      </c>
      <c r="R67" s="21"/>
      <c r="S67" s="4"/>
    </row>
    <row r="68" spans="1:19" ht="12.75" hidden="1" customHeight="1" x14ac:dyDescent="0.2">
      <c r="A68" s="278"/>
      <c r="B68" s="280"/>
      <c r="C68">
        <v>7081</v>
      </c>
      <c r="D68" s="280">
        <v>7.1</v>
      </c>
      <c r="E68">
        <v>14</v>
      </c>
      <c r="F68" t="s">
        <v>380</v>
      </c>
      <c r="G68" s="280">
        <f t="shared" si="29"/>
        <v>7.9</v>
      </c>
      <c r="H68" s="282">
        <f t="shared" si="29"/>
        <v>15</v>
      </c>
      <c r="I68" s="280" t="str">
        <f t="shared" si="29"/>
        <v>52-55260</v>
      </c>
      <c r="K68" s="259">
        <v>80</v>
      </c>
      <c r="L68" s="127" t="s">
        <v>381</v>
      </c>
      <c r="R68" s="21"/>
      <c r="S68" s="4"/>
    </row>
    <row r="69" spans="1:19" ht="12.75" hidden="1" customHeight="1" x14ac:dyDescent="0.2">
      <c r="A69" s="278"/>
      <c r="B69" s="280"/>
      <c r="C69">
        <v>7901</v>
      </c>
      <c r="D69" s="280">
        <v>7.9</v>
      </c>
      <c r="E69">
        <v>15</v>
      </c>
      <c r="F69" t="s">
        <v>382</v>
      </c>
      <c r="G69" s="280">
        <f t="shared" si="29"/>
        <v>8.9</v>
      </c>
      <c r="H69" s="282">
        <f t="shared" si="29"/>
        <v>16</v>
      </c>
      <c r="I69" s="280" t="str">
        <f t="shared" si="29"/>
        <v>52-55269</v>
      </c>
      <c r="K69" s="17">
        <v>100</v>
      </c>
      <c r="L69" s="127" t="s">
        <v>383</v>
      </c>
      <c r="R69" s="21"/>
      <c r="S69" s="4"/>
    </row>
    <row r="70" spans="1:19" ht="12.75" hidden="1" customHeight="1" x14ac:dyDescent="0.2">
      <c r="A70" s="278"/>
      <c r="B70" s="280"/>
      <c r="C70">
        <v>8900</v>
      </c>
      <c r="D70" s="280">
        <v>8.9</v>
      </c>
      <c r="E70">
        <v>16</v>
      </c>
      <c r="F70" t="s">
        <v>384</v>
      </c>
      <c r="G70" s="280">
        <f t="shared" si="29"/>
        <v>10.4</v>
      </c>
      <c r="H70" s="282">
        <f t="shared" si="29"/>
        <v>19</v>
      </c>
      <c r="I70" s="280" t="str">
        <f t="shared" si="29"/>
        <v>52-55279</v>
      </c>
      <c r="K70" s="259">
        <v>125</v>
      </c>
      <c r="L70" s="127" t="s">
        <v>385</v>
      </c>
      <c r="R70" s="21"/>
      <c r="S70" s="4"/>
    </row>
    <row r="71" spans="1:19" ht="12.75" hidden="1" customHeight="1" x14ac:dyDescent="0.2">
      <c r="A71" s="278"/>
      <c r="B71" s="280"/>
      <c r="C71">
        <v>10399</v>
      </c>
      <c r="D71" s="280">
        <v>10.4</v>
      </c>
      <c r="E71">
        <v>19</v>
      </c>
      <c r="F71" t="s">
        <v>386</v>
      </c>
      <c r="G71" s="280">
        <f t="shared" si="29"/>
        <v>11.4</v>
      </c>
      <c r="H71" s="282">
        <f t="shared" si="29"/>
        <v>22</v>
      </c>
      <c r="I71" s="280" t="str">
        <f t="shared" si="29"/>
        <v>52-55287</v>
      </c>
      <c r="K71" s="17">
        <v>150</v>
      </c>
      <c r="L71" s="127" t="s">
        <v>387</v>
      </c>
      <c r="R71" s="21"/>
      <c r="S71" s="4"/>
    </row>
    <row r="72" spans="1:19" ht="12.75" hidden="1" customHeight="1" x14ac:dyDescent="0.2">
      <c r="A72" s="278"/>
      <c r="B72" s="280"/>
      <c r="C72">
        <v>11355</v>
      </c>
      <c r="D72" s="280">
        <v>11.4</v>
      </c>
      <c r="E72">
        <v>22</v>
      </c>
      <c r="F72" t="s">
        <v>388</v>
      </c>
      <c r="G72" s="280">
        <f t="shared" si="29"/>
        <v>12.5</v>
      </c>
      <c r="H72" s="282">
        <f t="shared" si="29"/>
        <v>23</v>
      </c>
      <c r="I72" s="280" t="str">
        <f t="shared" si="29"/>
        <v>52-55292</v>
      </c>
      <c r="K72" s="259">
        <v>200</v>
      </c>
      <c r="L72" s="127" t="s">
        <v>389</v>
      </c>
      <c r="R72" s="21"/>
      <c r="S72" s="4"/>
    </row>
    <row r="73" spans="1:19" ht="12.75" hidden="1" customHeight="1" x14ac:dyDescent="0.2">
      <c r="A73" s="278"/>
      <c r="B73" s="280"/>
      <c r="C73">
        <v>12491</v>
      </c>
      <c r="D73" s="280">
        <v>12.5</v>
      </c>
      <c r="E73">
        <v>23</v>
      </c>
      <c r="F73" t="s">
        <v>390</v>
      </c>
      <c r="G73" s="280">
        <f t="shared" si="29"/>
        <v>13.4</v>
      </c>
      <c r="H73" s="282">
        <f t="shared" si="29"/>
        <v>24</v>
      </c>
      <c r="I73" s="280" t="str">
        <f t="shared" si="29"/>
        <v>52-55298</v>
      </c>
      <c r="K73" s="17">
        <v>250</v>
      </c>
      <c r="L73" s="127" t="s">
        <v>391</v>
      </c>
      <c r="R73" s="21"/>
      <c r="S73" s="4"/>
    </row>
    <row r="74" spans="1:19" ht="12.75" hidden="1" customHeight="1" x14ac:dyDescent="0.2">
      <c r="A74" s="278"/>
      <c r="B74" s="280"/>
      <c r="C74">
        <v>13399</v>
      </c>
      <c r="D74" s="280">
        <v>13.4</v>
      </c>
      <c r="E74">
        <v>24</v>
      </c>
      <c r="F74" t="s">
        <v>392</v>
      </c>
      <c r="G74" s="280">
        <f t="shared" si="29"/>
        <v>14.8</v>
      </c>
      <c r="H74" s="282">
        <f t="shared" si="29"/>
        <v>27</v>
      </c>
      <c r="I74" s="280" t="str">
        <f t="shared" si="29"/>
        <v>52-55303</v>
      </c>
      <c r="K74" s="259">
        <v>300</v>
      </c>
      <c r="L74" s="127" t="s">
        <v>393</v>
      </c>
      <c r="R74" s="21"/>
      <c r="S74" s="4"/>
    </row>
    <row r="75" spans="1:19" ht="12.75" hidden="1" customHeight="1" x14ac:dyDescent="0.2">
      <c r="A75" s="278"/>
      <c r="B75" s="280"/>
      <c r="C75">
        <v>14762</v>
      </c>
      <c r="D75" s="280">
        <v>14.8</v>
      </c>
      <c r="E75">
        <v>27</v>
      </c>
      <c r="F75" t="s">
        <v>394</v>
      </c>
      <c r="G75" s="280">
        <f t="shared" si="29"/>
        <v>16</v>
      </c>
      <c r="H75" s="282">
        <f t="shared" si="29"/>
        <v>29</v>
      </c>
      <c r="I75" s="280" t="str">
        <f t="shared" si="29"/>
        <v>52-55308</v>
      </c>
      <c r="K75" s="17">
        <v>350</v>
      </c>
      <c r="L75" s="127" t="s">
        <v>395</v>
      </c>
      <c r="R75" s="21"/>
      <c r="S75" s="4"/>
    </row>
    <row r="76" spans="1:19" ht="12.75" hidden="1" customHeight="1" x14ac:dyDescent="0.2">
      <c r="A76" s="278"/>
      <c r="B76" s="280"/>
      <c r="C76">
        <v>15999</v>
      </c>
      <c r="D76" s="280">
        <v>16</v>
      </c>
      <c r="E76">
        <v>29</v>
      </c>
      <c r="F76" t="s">
        <v>396</v>
      </c>
      <c r="G76" s="280">
        <f t="shared" si="29"/>
        <v>17</v>
      </c>
      <c r="H76" s="282">
        <f t="shared" si="29"/>
        <v>34</v>
      </c>
      <c r="I76" s="280" t="str">
        <f t="shared" si="29"/>
        <v>52-66285</v>
      </c>
      <c r="K76" s="259">
        <v>400</v>
      </c>
      <c r="L76" s="127" t="s">
        <v>397</v>
      </c>
      <c r="R76" s="21"/>
      <c r="S76" s="4"/>
    </row>
    <row r="77" spans="1:19" ht="12.75" hidden="1" customHeight="1" x14ac:dyDescent="0.2">
      <c r="A77" s="278"/>
      <c r="B77" s="280"/>
      <c r="C77">
        <v>17037</v>
      </c>
      <c r="D77" s="280">
        <v>17</v>
      </c>
      <c r="E77">
        <v>34</v>
      </c>
      <c r="F77" t="s">
        <v>398</v>
      </c>
      <c r="G77" s="280">
        <f t="shared" si="29"/>
        <v>18.100000000000001</v>
      </c>
      <c r="H77" s="282">
        <f t="shared" si="29"/>
        <v>34</v>
      </c>
      <c r="I77" s="280" t="str">
        <f t="shared" si="29"/>
        <v>52-66292</v>
      </c>
      <c r="K77" s="17">
        <v>450</v>
      </c>
      <c r="L77" s="127" t="s">
        <v>399</v>
      </c>
      <c r="R77" s="21"/>
      <c r="S77" s="4"/>
    </row>
    <row r="78" spans="1:19" ht="12.75" hidden="1" customHeight="1" x14ac:dyDescent="0.2">
      <c r="A78" s="278"/>
      <c r="B78" s="280"/>
      <c r="C78">
        <v>18148</v>
      </c>
      <c r="D78" s="280">
        <v>18.100000000000001</v>
      </c>
      <c r="E78">
        <v>34</v>
      </c>
      <c r="F78" t="s">
        <v>400</v>
      </c>
      <c r="G78" s="280">
        <f t="shared" si="29"/>
        <v>18.8</v>
      </c>
      <c r="H78" s="282">
        <f t="shared" si="29"/>
        <v>35</v>
      </c>
      <c r="I78" s="280" t="str">
        <f t="shared" si="29"/>
        <v>52-66301</v>
      </c>
      <c r="K78" s="259">
        <v>500</v>
      </c>
      <c r="L78" s="127" t="s">
        <v>401</v>
      </c>
      <c r="R78" s="21"/>
      <c r="S78" s="4"/>
    </row>
    <row r="79" spans="1:19" ht="12.75" hidden="1" customHeight="1" x14ac:dyDescent="0.2">
      <c r="A79" s="278"/>
      <c r="B79" s="280"/>
      <c r="C79">
        <v>18797</v>
      </c>
      <c r="D79" s="280">
        <v>18.8</v>
      </c>
      <c r="E79">
        <v>35</v>
      </c>
      <c r="F79" t="s">
        <v>402</v>
      </c>
      <c r="G79" s="280">
        <f t="shared" si="29"/>
        <v>19.5</v>
      </c>
      <c r="H79" s="282">
        <f t="shared" si="29"/>
        <v>35</v>
      </c>
      <c r="I79" s="280" t="str">
        <f t="shared" si="29"/>
        <v>52-66305</v>
      </c>
      <c r="K79" s="17">
        <v>600</v>
      </c>
      <c r="L79" s="127" t="s">
        <v>403</v>
      </c>
      <c r="R79" s="21"/>
      <c r="S79" s="4"/>
    </row>
    <row r="80" spans="1:19" ht="12.75" hidden="1" customHeight="1" x14ac:dyDescent="0.2">
      <c r="A80" s="278"/>
      <c r="B80" s="280"/>
      <c r="C80">
        <v>19467</v>
      </c>
      <c r="D80" s="280">
        <v>19.5</v>
      </c>
      <c r="E80">
        <v>35</v>
      </c>
      <c r="F80" t="s">
        <v>404</v>
      </c>
      <c r="G80" s="280">
        <f t="shared" si="29"/>
        <v>20.5</v>
      </c>
      <c r="H80" s="282">
        <f t="shared" si="29"/>
        <v>35</v>
      </c>
      <c r="I80" s="280" t="str">
        <f t="shared" si="29"/>
        <v>52-66312</v>
      </c>
      <c r="K80" s="259">
        <v>800</v>
      </c>
      <c r="L80" s="127" t="s">
        <v>405</v>
      </c>
      <c r="R80" s="21"/>
      <c r="S80" s="4"/>
    </row>
    <row r="81" spans="1:19" ht="12.75" hidden="1" customHeight="1" x14ac:dyDescent="0.2">
      <c r="A81" s="278"/>
      <c r="B81" s="280"/>
      <c r="C81">
        <v>20464</v>
      </c>
      <c r="D81" s="280">
        <v>20.5</v>
      </c>
      <c r="E81">
        <v>35</v>
      </c>
      <c r="F81" t="s">
        <v>406</v>
      </c>
      <c r="G81" s="280">
        <f t="shared" si="29"/>
        <v>21.5</v>
      </c>
      <c r="H81" s="282">
        <f t="shared" si="29"/>
        <v>36</v>
      </c>
      <c r="I81" s="280" t="str">
        <f t="shared" si="29"/>
        <v>52-66319</v>
      </c>
      <c r="K81" s="17">
        <v>900</v>
      </c>
      <c r="L81" s="308" t="s">
        <v>588</v>
      </c>
      <c r="R81" s="21"/>
      <c r="S81" s="4"/>
    </row>
    <row r="82" spans="1:19" ht="12.75" hidden="1" customHeight="1" x14ac:dyDescent="0.2">
      <c r="A82" s="278"/>
      <c r="B82" s="280"/>
      <c r="C82">
        <v>21527</v>
      </c>
      <c r="D82" s="280">
        <v>21.5</v>
      </c>
      <c r="E82">
        <v>36</v>
      </c>
      <c r="F82" t="s">
        <v>407</v>
      </c>
      <c r="G82" s="280">
        <f t="shared" si="29"/>
        <v>22.4</v>
      </c>
      <c r="H82" s="282">
        <f t="shared" si="29"/>
        <v>36</v>
      </c>
      <c r="I82" s="280" t="str">
        <f t="shared" si="29"/>
        <v>52-66326</v>
      </c>
      <c r="K82" s="259">
        <v>1000</v>
      </c>
      <c r="L82" s="308" t="s">
        <v>589</v>
      </c>
      <c r="R82" s="21"/>
      <c r="S82" s="4"/>
    </row>
    <row r="83" spans="1:19" ht="12.75" hidden="1" customHeight="1" x14ac:dyDescent="0.2">
      <c r="A83" s="278"/>
      <c r="B83" s="280"/>
      <c r="C83">
        <v>22449</v>
      </c>
      <c r="D83" s="280">
        <v>22.4</v>
      </c>
      <c r="E83">
        <v>36</v>
      </c>
      <c r="F83" t="s">
        <v>408</v>
      </c>
      <c r="G83" s="280">
        <f t="shared" si="29"/>
        <v>23.5</v>
      </c>
      <c r="H83" s="282">
        <f t="shared" si="29"/>
        <v>36</v>
      </c>
      <c r="I83" s="280" t="str">
        <f t="shared" si="29"/>
        <v>52-66332</v>
      </c>
      <c r="R83" s="21"/>
      <c r="S83" s="4"/>
    </row>
    <row r="84" spans="1:19" ht="12.75" hidden="1" customHeight="1" x14ac:dyDescent="0.2">
      <c r="A84" s="278"/>
      <c r="B84" s="280"/>
      <c r="C84">
        <v>23482</v>
      </c>
      <c r="D84" s="280">
        <v>23.5</v>
      </c>
      <c r="E84">
        <v>36</v>
      </c>
      <c r="F84" t="s">
        <v>409</v>
      </c>
      <c r="G84" s="280">
        <f t="shared" si="29"/>
        <v>24.5</v>
      </c>
      <c r="H84" s="282">
        <f t="shared" si="29"/>
        <v>37</v>
      </c>
      <c r="I84" s="280" t="str">
        <f t="shared" si="29"/>
        <v>52-66338</v>
      </c>
      <c r="R84" s="21"/>
      <c r="S84" s="4"/>
    </row>
    <row r="85" spans="1:19" ht="12.75" hidden="1" customHeight="1" x14ac:dyDescent="0.2">
      <c r="A85" s="278"/>
      <c r="B85" s="280"/>
      <c r="C85">
        <v>24531</v>
      </c>
      <c r="D85" s="280">
        <v>24.5</v>
      </c>
      <c r="E85">
        <v>37</v>
      </c>
      <c r="F85" t="s">
        <v>410</v>
      </c>
      <c r="G85" s="280">
        <f t="shared" si="29"/>
        <v>25.6</v>
      </c>
      <c r="H85" s="282">
        <f t="shared" si="29"/>
        <v>38</v>
      </c>
      <c r="I85" s="280" t="str">
        <f t="shared" si="29"/>
        <v>52-66344</v>
      </c>
      <c r="R85" s="21"/>
      <c r="S85" s="86"/>
    </row>
    <row r="86" spans="1:19" ht="12.75" hidden="1" customHeight="1" x14ac:dyDescent="0.2">
      <c r="A86" s="278"/>
      <c r="B86" s="280"/>
      <c r="C86">
        <v>25621</v>
      </c>
      <c r="D86" s="280">
        <v>25.6</v>
      </c>
      <c r="E86">
        <v>38</v>
      </c>
      <c r="F86" t="s">
        <v>411</v>
      </c>
      <c r="G86" s="280">
        <f t="shared" si="29"/>
        <v>26.5</v>
      </c>
      <c r="H86" s="282">
        <f t="shared" si="29"/>
        <v>38</v>
      </c>
      <c r="I86" s="280" t="str">
        <f t="shared" si="29"/>
        <v>52-66349</v>
      </c>
      <c r="R86" s="21"/>
    </row>
    <row r="87" spans="1:19" ht="12.75" hidden="1" customHeight="1" x14ac:dyDescent="0.2">
      <c r="A87" s="278"/>
      <c r="B87" s="280"/>
      <c r="C87">
        <v>26528</v>
      </c>
      <c r="D87" s="280">
        <v>26.5</v>
      </c>
      <c r="E87">
        <v>38</v>
      </c>
      <c r="F87" t="s">
        <v>412</v>
      </c>
      <c r="G87" s="280">
        <f t="shared" si="29"/>
        <v>27.7</v>
      </c>
      <c r="H87" s="282">
        <f t="shared" si="29"/>
        <v>38</v>
      </c>
      <c r="I87" s="280" t="str">
        <f t="shared" si="29"/>
        <v>52-66356</v>
      </c>
      <c r="R87" s="21"/>
      <c r="S87" s="86"/>
    </row>
    <row r="88" spans="1:19" ht="12.75" hidden="1" customHeight="1" x14ac:dyDescent="0.2">
      <c r="A88" s="278"/>
      <c r="B88" s="280"/>
      <c r="C88">
        <v>27686</v>
      </c>
      <c r="D88" s="280">
        <v>27.7</v>
      </c>
      <c r="E88">
        <v>38</v>
      </c>
      <c r="F88" t="s">
        <v>413</v>
      </c>
      <c r="G88" s="280">
        <f t="shared" si="29"/>
        <v>29.2</v>
      </c>
      <c r="H88" s="282">
        <f t="shared" si="29"/>
        <v>38</v>
      </c>
      <c r="I88" s="280" t="str">
        <f t="shared" si="29"/>
        <v>52-66362</v>
      </c>
      <c r="R88" s="21"/>
    </row>
    <row r="89" spans="1:19" ht="12.75" hidden="1" customHeight="1" x14ac:dyDescent="0.2">
      <c r="A89" s="278"/>
      <c r="B89" s="280"/>
      <c r="C89">
        <v>29157</v>
      </c>
      <c r="D89" s="280">
        <v>29.2</v>
      </c>
      <c r="E89">
        <v>38</v>
      </c>
      <c r="F89" t="s">
        <v>414</v>
      </c>
      <c r="G89" s="280">
        <f t="shared" si="29"/>
        <v>30</v>
      </c>
      <c r="H89" s="282">
        <f t="shared" si="29"/>
        <v>39</v>
      </c>
      <c r="I89" s="280" t="str">
        <f t="shared" si="29"/>
        <v>52-66367</v>
      </c>
      <c r="R89" s="21"/>
    </row>
    <row r="90" spans="1:19" ht="12.75" hidden="1" customHeight="1" x14ac:dyDescent="0.2">
      <c r="A90" s="278"/>
      <c r="B90" s="280"/>
      <c r="C90">
        <v>29954</v>
      </c>
      <c r="D90" s="280">
        <v>30</v>
      </c>
      <c r="E90">
        <v>39</v>
      </c>
      <c r="F90" t="s">
        <v>415</v>
      </c>
      <c r="G90" s="280">
        <f t="shared" si="29"/>
        <v>31</v>
      </c>
      <c r="H90" s="282">
        <f t="shared" si="29"/>
        <v>39</v>
      </c>
      <c r="I90" s="280" t="str">
        <f t="shared" si="29"/>
        <v>52-66373</v>
      </c>
      <c r="R90" s="21"/>
    </row>
    <row r="91" spans="1:19" ht="12.75" hidden="1" customHeight="1" x14ac:dyDescent="0.2">
      <c r="A91" s="278"/>
      <c r="B91" s="280"/>
      <c r="C91">
        <v>30976</v>
      </c>
      <c r="D91" s="280">
        <v>31</v>
      </c>
      <c r="E91">
        <v>39</v>
      </c>
      <c r="F91" t="s">
        <v>416</v>
      </c>
      <c r="G91" s="280">
        <f t="shared" si="29"/>
        <v>32.299999999999997</v>
      </c>
      <c r="H91" s="282">
        <f t="shared" si="29"/>
        <v>40</v>
      </c>
      <c r="I91" s="280" t="str">
        <f t="shared" si="29"/>
        <v>52-66379</v>
      </c>
      <c r="R91" s="21"/>
    </row>
    <row r="92" spans="1:19" ht="12.75" hidden="1" customHeight="1" x14ac:dyDescent="0.2">
      <c r="A92" s="278"/>
      <c r="B92" s="280"/>
      <c r="C92">
        <v>32260</v>
      </c>
      <c r="D92" s="280">
        <v>32.299999999999997</v>
      </c>
      <c r="E92">
        <v>40</v>
      </c>
      <c r="F92" t="s">
        <v>417</v>
      </c>
      <c r="G92" s="280">
        <f t="shared" si="29"/>
        <v>33.6</v>
      </c>
      <c r="H92" s="282">
        <f t="shared" si="29"/>
        <v>40</v>
      </c>
      <c r="I92" s="280" t="str">
        <f t="shared" si="29"/>
        <v>52-66385</v>
      </c>
      <c r="R92" s="21"/>
    </row>
    <row r="93" spans="1:19" ht="12.75" hidden="1" customHeight="1" x14ac:dyDescent="0.2">
      <c r="A93" s="278"/>
      <c r="B93" s="280"/>
      <c r="C93">
        <v>33565</v>
      </c>
      <c r="D93" s="280">
        <v>33.6</v>
      </c>
      <c r="E93">
        <v>40</v>
      </c>
      <c r="F93" t="s">
        <v>418</v>
      </c>
      <c r="G93" s="280">
        <f t="shared" si="29"/>
        <v>35</v>
      </c>
      <c r="H93" s="282">
        <f t="shared" si="29"/>
        <v>40</v>
      </c>
      <c r="I93" s="280" t="str">
        <f t="shared" si="29"/>
        <v>52-66391</v>
      </c>
      <c r="R93" s="21"/>
    </row>
    <row r="94" spans="1:19" ht="12.75" hidden="1" customHeight="1" x14ac:dyDescent="0.2">
      <c r="A94" s="278"/>
      <c r="B94" s="280"/>
      <c r="C94">
        <v>34953</v>
      </c>
      <c r="D94" s="280">
        <v>35</v>
      </c>
      <c r="E94">
        <v>40</v>
      </c>
      <c r="F94" t="s">
        <v>419</v>
      </c>
      <c r="G94" s="280">
        <f t="shared" si="29"/>
        <v>36.299999999999997</v>
      </c>
      <c r="H94" s="282">
        <f t="shared" si="29"/>
        <v>42</v>
      </c>
      <c r="I94" s="280" t="str">
        <f t="shared" si="29"/>
        <v>52-66393</v>
      </c>
      <c r="R94" s="21"/>
    </row>
    <row r="95" spans="1:19" ht="12.75" hidden="1" customHeight="1" x14ac:dyDescent="0.2">
      <c r="A95" s="278"/>
      <c r="B95" s="280"/>
      <c r="C95">
        <v>36336</v>
      </c>
      <c r="D95" s="280">
        <v>36.299999999999997</v>
      </c>
      <c r="E95">
        <v>42</v>
      </c>
      <c r="F95" t="s">
        <v>420</v>
      </c>
      <c r="G95" s="280">
        <f t="shared" si="29"/>
        <v>37.700000000000003</v>
      </c>
      <c r="H95" s="282">
        <f t="shared" si="29"/>
        <v>43</v>
      </c>
      <c r="I95" s="280" t="str">
        <f t="shared" si="29"/>
        <v>52-66398</v>
      </c>
      <c r="R95" s="21"/>
    </row>
    <row r="96" spans="1:19" ht="12.75" hidden="1" customHeight="1" x14ac:dyDescent="0.2">
      <c r="A96" s="278"/>
      <c r="B96" s="280"/>
      <c r="C96">
        <v>37685</v>
      </c>
      <c r="D96" s="280">
        <v>37.700000000000003</v>
      </c>
      <c r="E96">
        <v>43</v>
      </c>
      <c r="F96" t="s">
        <v>421</v>
      </c>
      <c r="G96" s="280">
        <f t="shared" si="29"/>
        <v>38.6</v>
      </c>
      <c r="H96" s="282">
        <f t="shared" si="29"/>
        <v>44</v>
      </c>
      <c r="I96" s="280" t="str">
        <f t="shared" si="29"/>
        <v>52-66400</v>
      </c>
      <c r="R96" s="21"/>
    </row>
    <row r="97" spans="1:18" ht="12.75" hidden="1" customHeight="1" x14ac:dyDescent="0.2">
      <c r="A97" s="278"/>
      <c r="B97" s="280"/>
      <c r="C97">
        <v>38607</v>
      </c>
      <c r="D97" s="280">
        <v>38.6</v>
      </c>
      <c r="E97">
        <v>44</v>
      </c>
      <c r="F97" t="s">
        <v>422</v>
      </c>
      <c r="G97" s="280">
        <f t="shared" si="29"/>
        <v>41</v>
      </c>
      <c r="H97" s="282">
        <f t="shared" si="29"/>
        <v>46</v>
      </c>
      <c r="I97" s="280" t="str">
        <f t="shared" si="29"/>
        <v>52-66407</v>
      </c>
      <c r="R97" s="21"/>
    </row>
    <row r="98" spans="1:18" ht="12.75" hidden="1" customHeight="1" x14ac:dyDescent="0.2">
      <c r="A98" s="278"/>
      <c r="B98" s="280"/>
      <c r="C98">
        <v>40971</v>
      </c>
      <c r="D98" s="280">
        <v>41</v>
      </c>
      <c r="E98">
        <v>46</v>
      </c>
      <c r="F98" t="s">
        <v>423</v>
      </c>
      <c r="G98" s="280">
        <f t="shared" si="29"/>
        <v>45</v>
      </c>
      <c r="H98" s="282">
        <f t="shared" si="29"/>
        <v>49</v>
      </c>
      <c r="I98" s="280" t="str">
        <f t="shared" si="29"/>
        <v>52-66407H</v>
      </c>
      <c r="R98" s="21"/>
    </row>
    <row r="99" spans="1:18" ht="12.75" hidden="1" customHeight="1" x14ac:dyDescent="0.2">
      <c r="A99" s="278"/>
      <c r="B99" s="280"/>
      <c r="C99">
        <v>45000</v>
      </c>
      <c r="D99" s="280">
        <v>45</v>
      </c>
      <c r="E99">
        <v>49</v>
      </c>
      <c r="F99" t="s">
        <v>424</v>
      </c>
      <c r="G99" s="280">
        <f>D99</f>
        <v>45</v>
      </c>
      <c r="H99" s="282">
        <f>E99</f>
        <v>49</v>
      </c>
      <c r="I99" s="280" t="str">
        <f>F99</f>
        <v>52-66407H</v>
      </c>
      <c r="R99" s="21"/>
    </row>
    <row r="100" spans="1:18" ht="12.75" customHeight="1" thickBot="1" x14ac:dyDescent="0.25">
      <c r="A100" s="277"/>
      <c r="B100" s="17"/>
      <c r="C100" s="17"/>
      <c r="D100" s="92"/>
      <c r="E100" s="92"/>
      <c r="F100" s="92"/>
      <c r="G100" s="92"/>
      <c r="H100" s="287"/>
      <c r="I100" s="92"/>
      <c r="J100" s="92"/>
      <c r="K100" s="92"/>
      <c r="L100" s="92"/>
      <c r="M100" s="92"/>
      <c r="N100" s="287"/>
      <c r="R100" s="21"/>
    </row>
    <row r="101" spans="1:18" ht="12.75" customHeight="1" thickTop="1" x14ac:dyDescent="0.2">
      <c r="A101" s="435" t="s">
        <v>434</v>
      </c>
      <c r="B101" s="11" t="s">
        <v>317</v>
      </c>
      <c r="C101" s="12" t="s">
        <v>440</v>
      </c>
      <c r="R101" s="21"/>
    </row>
    <row r="102" spans="1:18" ht="12.75" customHeight="1" x14ac:dyDescent="0.25">
      <c r="A102" s="378" t="s">
        <v>34</v>
      </c>
      <c r="B102" s="187" t="s">
        <v>330</v>
      </c>
      <c r="C102" s="211" t="s">
        <v>443</v>
      </c>
      <c r="L102" s="288"/>
      <c r="M102" s="289"/>
      <c r="N102" s="289"/>
      <c r="O102" s="289"/>
      <c r="P102" s="289"/>
      <c r="Q102" s="289"/>
      <c r="R102" s="21"/>
    </row>
    <row r="103" spans="1:18" ht="14.25" x14ac:dyDescent="0.2">
      <c r="A103" s="378" t="s">
        <v>300</v>
      </c>
      <c r="B103" s="290"/>
      <c r="C103" s="211"/>
      <c r="L103" s="289"/>
      <c r="M103" s="289"/>
      <c r="N103" s="289"/>
      <c r="O103" s="289"/>
      <c r="P103" s="289"/>
      <c r="Q103" s="289"/>
      <c r="R103" s="21"/>
    </row>
    <row r="104" spans="1:18" ht="15" x14ac:dyDescent="0.25">
      <c r="A104" s="291"/>
      <c r="B104" s="290"/>
      <c r="C104" s="292"/>
      <c r="L104" s="293"/>
      <c r="M104" s="293"/>
      <c r="N104" s="288"/>
      <c r="O104" s="288"/>
      <c r="P104" s="288"/>
      <c r="Q104" s="288"/>
      <c r="R104" s="21"/>
    </row>
    <row r="105" spans="1:18" ht="15" x14ac:dyDescent="0.25">
      <c r="A105" s="212">
        <v>50</v>
      </c>
      <c r="B105" s="294" t="s">
        <v>575</v>
      </c>
      <c r="C105" s="210">
        <v>1</v>
      </c>
      <c r="L105" s="293"/>
      <c r="M105" s="293"/>
      <c r="N105" s="293"/>
      <c r="O105" s="293"/>
      <c r="P105" s="293"/>
      <c r="Q105" s="288"/>
      <c r="R105" s="21"/>
    </row>
    <row r="106" spans="1:18" ht="15" x14ac:dyDescent="0.25">
      <c r="A106" s="378">
        <v>65</v>
      </c>
      <c r="B106" s="295" t="s">
        <v>575</v>
      </c>
      <c r="C106" s="211">
        <v>1</v>
      </c>
      <c r="L106" s="293"/>
      <c r="M106" s="293"/>
      <c r="N106" s="288"/>
      <c r="O106" s="288"/>
      <c r="P106" s="296"/>
      <c r="Q106" s="288"/>
      <c r="R106" s="21"/>
    </row>
    <row r="107" spans="1:18" ht="15" x14ac:dyDescent="0.25">
      <c r="A107" s="212">
        <v>80</v>
      </c>
      <c r="B107" s="294" t="s">
        <v>575</v>
      </c>
      <c r="C107" s="210">
        <v>1</v>
      </c>
      <c r="L107" s="293"/>
      <c r="M107" s="293"/>
      <c r="N107" s="288"/>
      <c r="O107" s="288"/>
      <c r="P107" s="297"/>
      <c r="Q107" s="288"/>
      <c r="R107" s="21"/>
    </row>
    <row r="108" spans="1:18" ht="15" x14ac:dyDescent="0.25">
      <c r="A108" s="378">
        <v>100</v>
      </c>
      <c r="B108" s="295" t="s">
        <v>576</v>
      </c>
      <c r="C108" s="211">
        <v>2</v>
      </c>
      <c r="L108" s="293"/>
      <c r="M108" s="293"/>
      <c r="N108" s="288"/>
      <c r="O108" s="288"/>
      <c r="P108" s="288"/>
      <c r="Q108" s="288"/>
      <c r="R108" s="21"/>
    </row>
    <row r="109" spans="1:18" ht="15" x14ac:dyDescent="0.25">
      <c r="A109" s="212">
        <v>125</v>
      </c>
      <c r="B109" s="294" t="s">
        <v>577</v>
      </c>
      <c r="C109" s="210">
        <v>3</v>
      </c>
      <c r="L109" s="296"/>
      <c r="M109" s="293"/>
      <c r="N109" s="298"/>
      <c r="O109" s="288"/>
      <c r="P109" s="299"/>
      <c r="Q109" s="288"/>
      <c r="R109" s="21"/>
    </row>
    <row r="110" spans="1:18" ht="15" x14ac:dyDescent="0.25">
      <c r="A110" s="378">
        <v>150</v>
      </c>
      <c r="B110" s="295" t="s">
        <v>578</v>
      </c>
      <c r="C110" s="211">
        <v>4</v>
      </c>
      <c r="L110" s="296"/>
      <c r="M110" s="293"/>
      <c r="N110" s="298"/>
      <c r="O110" s="288"/>
      <c r="P110" s="299"/>
      <c r="Q110" s="288"/>
      <c r="R110" s="21"/>
    </row>
    <row r="111" spans="1:18" ht="15" x14ac:dyDescent="0.25">
      <c r="A111" s="212">
        <v>200</v>
      </c>
      <c r="B111" s="294" t="s">
        <v>579</v>
      </c>
      <c r="C111" s="210">
        <v>7</v>
      </c>
      <c r="L111" s="300"/>
      <c r="M111" s="293"/>
      <c r="N111" s="288"/>
      <c r="O111" s="288"/>
      <c r="P111" s="288"/>
      <c r="Q111" s="288"/>
      <c r="R111" s="21"/>
    </row>
    <row r="112" spans="1:18" x14ac:dyDescent="0.2">
      <c r="A112" s="378">
        <v>250</v>
      </c>
      <c r="B112" s="295" t="s">
        <v>580</v>
      </c>
      <c r="C112" s="211">
        <v>12</v>
      </c>
      <c r="L112" s="60"/>
      <c r="M112" s="60"/>
      <c r="R112" s="21"/>
    </row>
    <row r="113" spans="1:18" x14ac:dyDescent="0.2">
      <c r="A113" s="212">
        <v>300</v>
      </c>
      <c r="B113" s="294" t="s">
        <v>581</v>
      </c>
      <c r="C113" s="210">
        <v>15</v>
      </c>
      <c r="L113" s="60"/>
      <c r="M113" s="60"/>
      <c r="R113" s="21"/>
    </row>
    <row r="114" spans="1:18" x14ac:dyDescent="0.2">
      <c r="A114" s="378">
        <v>350</v>
      </c>
      <c r="B114" s="295" t="s">
        <v>582</v>
      </c>
      <c r="C114" s="211">
        <v>19</v>
      </c>
      <c r="L114" s="60"/>
      <c r="M114" s="60"/>
      <c r="R114" s="21"/>
    </row>
    <row r="115" spans="1:18" x14ac:dyDescent="0.2">
      <c r="A115" s="212">
        <v>400</v>
      </c>
      <c r="B115" s="294" t="s">
        <v>583</v>
      </c>
      <c r="C115" s="210">
        <v>26</v>
      </c>
      <c r="L115" s="60"/>
      <c r="M115" s="60"/>
      <c r="R115" s="21"/>
    </row>
    <row r="116" spans="1:18" x14ac:dyDescent="0.2">
      <c r="A116" s="378">
        <v>450</v>
      </c>
      <c r="B116" s="295" t="s">
        <v>584</v>
      </c>
      <c r="C116" s="211">
        <v>33</v>
      </c>
      <c r="L116" s="60"/>
      <c r="M116" s="60"/>
      <c r="R116" s="21"/>
    </row>
    <row r="117" spans="1:18" x14ac:dyDescent="0.2">
      <c r="A117" s="212">
        <v>500</v>
      </c>
      <c r="B117" s="294" t="s">
        <v>585</v>
      </c>
      <c r="C117" s="210">
        <v>40</v>
      </c>
      <c r="R117" s="21"/>
    </row>
    <row r="118" spans="1:18" x14ac:dyDescent="0.2">
      <c r="A118" s="378">
        <v>600</v>
      </c>
      <c r="B118" s="295" t="s">
        <v>586</v>
      </c>
      <c r="C118" s="211">
        <v>56</v>
      </c>
      <c r="R118" s="21"/>
    </row>
    <row r="119" spans="1:18" x14ac:dyDescent="0.2">
      <c r="A119" s="212">
        <v>800</v>
      </c>
      <c r="B119" s="294" t="s">
        <v>587</v>
      </c>
      <c r="C119" s="210">
        <v>85</v>
      </c>
      <c r="R119" s="21"/>
    </row>
    <row r="120" spans="1:18" x14ac:dyDescent="0.2">
      <c r="A120" s="378">
        <v>900</v>
      </c>
      <c r="B120" s="295" t="s">
        <v>574</v>
      </c>
      <c r="C120" s="211">
        <v>112</v>
      </c>
      <c r="R120" s="21"/>
    </row>
    <row r="121" spans="1:18" ht="13.5" thickBot="1" x14ac:dyDescent="0.25">
      <c r="A121" s="209">
        <v>1000</v>
      </c>
      <c r="B121" s="301" t="s">
        <v>573</v>
      </c>
      <c r="C121" s="208">
        <v>136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9"/>
    </row>
    <row r="122" spans="1:18" ht="13.5" thickTop="1" x14ac:dyDescent="0.2"/>
  </sheetData>
  <sheetProtection sheet="1" objects="1" scenarios="1"/>
  <mergeCells count="6">
    <mergeCell ref="B1:R1"/>
    <mergeCell ref="A2:R2"/>
    <mergeCell ref="N8:Q8"/>
    <mergeCell ref="C51:I51"/>
    <mergeCell ref="C52:F52"/>
    <mergeCell ref="G52:I52"/>
  </mergeCells>
  <dataValidations count="1">
    <dataValidation type="list" allowBlank="1" showInputMessage="1" showErrorMessage="1" sqref="D14" xr:uid="{0DE1EC23-A927-4E1E-AA19-72DFD6BF12EC}">
      <formula1>$A$105:$A$121</formula1>
    </dataValidation>
  </dataValidations>
  <pageMargins left="0.19685039370078741" right="0.19685039370078741" top="0.59055118110236227" bottom="0.19685039370078741" header="0.51181102362204722" footer="0.51181102362204722"/>
  <pageSetup paperSize="9" scale="94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4.7109375" customWidth="1"/>
    <col min="2" max="2" width="14.28515625" customWidth="1"/>
    <col min="3" max="3" width="15.7109375" customWidth="1"/>
    <col min="4" max="4" width="16.42578125" customWidth="1"/>
    <col min="5" max="5" width="15.7109375" hidden="1" customWidth="1"/>
    <col min="6" max="6" width="15.7109375" customWidth="1"/>
    <col min="7" max="10" width="10.7109375" customWidth="1"/>
    <col min="11" max="11" width="20.42578125" customWidth="1"/>
    <col min="15" max="16" width="20.28515625" bestFit="1" customWidth="1"/>
  </cols>
  <sheetData>
    <row r="1" spans="1:12" ht="21" thickTop="1" x14ac:dyDescent="0.3">
      <c r="A1" s="746" t="s">
        <v>730</v>
      </c>
      <c r="B1" s="747"/>
      <c r="C1" s="747"/>
      <c r="D1" s="747"/>
      <c r="E1" s="747"/>
      <c r="F1" s="747"/>
      <c r="G1" s="747"/>
      <c r="H1" s="747"/>
      <c r="I1" s="747"/>
      <c r="J1" s="747"/>
      <c r="K1" s="748"/>
      <c r="L1" s="5"/>
    </row>
    <row r="2" spans="1:12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0"/>
      <c r="J2" s="740"/>
      <c r="K2" s="741"/>
      <c r="L2" s="5"/>
    </row>
    <row r="3" spans="1:12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19"/>
      <c r="K3" s="20"/>
    </row>
    <row r="4" spans="1:12" ht="13.5" thickBot="1" x14ac:dyDescent="0.25">
      <c r="A4" s="22"/>
      <c r="B4" s="17"/>
      <c r="D4" s="23"/>
      <c r="K4" s="21"/>
    </row>
    <row r="5" spans="1:12" ht="13.5" thickBot="1" x14ac:dyDescent="0.25">
      <c r="A5" s="30" t="s">
        <v>57</v>
      </c>
      <c r="B5" s="303">
        <v>1500</v>
      </c>
      <c r="C5" s="24" t="s">
        <v>58</v>
      </c>
      <c r="D5" s="23"/>
      <c r="H5" s="23"/>
      <c r="K5" s="21"/>
    </row>
    <row r="6" spans="1:12" x14ac:dyDescent="0.2">
      <c r="A6" s="22"/>
      <c r="H6" s="23"/>
      <c r="K6" s="21"/>
    </row>
    <row r="7" spans="1:12" ht="13.5" thickBot="1" x14ac:dyDescent="0.25">
      <c r="A7" s="22"/>
      <c r="K7" s="21"/>
    </row>
    <row r="8" spans="1:12" ht="13.5" thickTop="1" x14ac:dyDescent="0.2">
      <c r="A8" s="744" t="s">
        <v>22</v>
      </c>
      <c r="B8" s="742" t="s">
        <v>49</v>
      </c>
      <c r="C8" s="742"/>
      <c r="D8" s="742" t="s">
        <v>59</v>
      </c>
      <c r="E8" s="742"/>
      <c r="F8" s="743"/>
      <c r="K8" s="21"/>
    </row>
    <row r="9" spans="1:12" x14ac:dyDescent="0.2">
      <c r="A9" s="848"/>
      <c r="B9" s="187" t="s">
        <v>44</v>
      </c>
      <c r="C9" s="187" t="s">
        <v>50</v>
      </c>
      <c r="D9" s="71" t="s">
        <v>51</v>
      </c>
      <c r="E9" s="51" t="s">
        <v>60</v>
      </c>
      <c r="F9" s="34" t="s">
        <v>61</v>
      </c>
      <c r="K9" s="21"/>
    </row>
    <row r="10" spans="1:12" x14ac:dyDescent="0.2">
      <c r="A10" s="327" t="s">
        <v>481</v>
      </c>
      <c r="B10" s="321" t="s">
        <v>477</v>
      </c>
      <c r="C10" s="321" t="s">
        <v>466</v>
      </c>
      <c r="D10" s="392" t="str">
        <f>IF(D38="UDEN FOR OMRÅDET","NOT POSSIBLE",(0.000000000005542*B5^4-0.000000011024963*B5^3+0.000008062366517*B5^2+0.001574675994768*B5+0.437597137192088))</f>
        <v>NOT POSSIBLE</v>
      </c>
      <c r="E10" s="388" t="e">
        <f>-0.0001914848*D10^5+0.0053285439*D10^4-0.054883786*D10^3+0.2534175671*D10^2-0.2481945056*D10+0.1333828468</f>
        <v>#VALUE!</v>
      </c>
      <c r="F10" s="389" t="str">
        <f>IF(D38="UDEN FOR OMRÅDET","NOT POSSIBLE",IF(B5&lt;40,10,((((0.1322*D10^2+0.2648*D10+9.8241))))))</f>
        <v>NOT POSSIBLE</v>
      </c>
      <c r="K10" s="21"/>
    </row>
    <row r="11" spans="1:12" x14ac:dyDescent="0.2">
      <c r="A11" s="309" t="s">
        <v>482</v>
      </c>
      <c r="B11" s="187" t="s">
        <v>471</v>
      </c>
      <c r="C11" s="187" t="s">
        <v>64</v>
      </c>
      <c r="D11" s="392" t="str">
        <f>IF(D39="UDEN FOR OMRÅDET","NOT POSSIBLE",(ROUND(0.000000000004935*B5^4-0.000000011338095*B5^3+0.000009011774864*B5^2+0.000523712911518*B5+0.458015907559471,1)))</f>
        <v>NOT POSSIBLE</v>
      </c>
      <c r="E11" s="388" t="e">
        <f>-0.0001313737*D11^5+0.0033025825*D11^4-0.030488192*D11^3+0.130530682*D11^2-0.0056293818*D11+0.0026799239</f>
        <v>#VALUE!</v>
      </c>
      <c r="F11" s="389" t="str">
        <f>IF(D39="UDEN FOR OMRÅDET","NOT POSSIBLE",IF(B5&lt;60,14,((((0.2956*D11^2-0.4757*D11+14.17))))))</f>
        <v>NOT POSSIBLE</v>
      </c>
      <c r="K11" s="21"/>
    </row>
    <row r="12" spans="1:12" x14ac:dyDescent="0.2">
      <c r="A12" s="327" t="s">
        <v>483</v>
      </c>
      <c r="B12" s="321" t="s">
        <v>478</v>
      </c>
      <c r="C12" s="321" t="s">
        <v>480</v>
      </c>
      <c r="D12" s="392">
        <f>IF(D40="UDEN FOR OMRÅDET","NOT POSSIBLE",IF(B5&lt;1465,(1.43958726E-12*B5^4-4.05602367413E-09*B5^3+0.0000042670132068909*B5^2-0.000061224426617176*B5+0.509465618579983),(2.758949268903E-08*B5^4-0.000165382498714462*B5^3+0.371749749406838*B5^2-371.370189738866*B5+139116.043827614)))</f>
        <v>3.5689616057206877</v>
      </c>
      <c r="E12" s="393">
        <f>-0.0002922512*D12^5+0.0079441211*D12^4-0.081093891*D12^3+0.3716534766*D12^2-0.315676037*D12+0.1555909698</f>
        <v>1.1960477664842428</v>
      </c>
      <c r="F12" s="389">
        <f>IF(D40="UDEN FOR OMRÅDET","NOT POSSIBLE",IF(B5&lt;86,9,((((0.5565*D12^2-0.7865*D12+9.2446))))))</f>
        <v>13.526023180940497</v>
      </c>
      <c r="K12" s="21"/>
    </row>
    <row r="13" spans="1:12" x14ac:dyDescent="0.2">
      <c r="A13" s="309" t="s">
        <v>484</v>
      </c>
      <c r="B13" s="187" t="s">
        <v>472</v>
      </c>
      <c r="C13" s="187" t="s">
        <v>62</v>
      </c>
      <c r="D13" s="392">
        <f>IF(D41="UDEN FOR OMRÅDET","NOT POSSIBLE",(ROUND(2.8068E-16*B5^5-1.30894961E-12*B5^4+2.26233522011E-09*B5^3-1.24113081172312E-06*B5^2+0.00135922155812669*B5+0.36672369992407,1)))</f>
        <v>2.8</v>
      </c>
      <c r="E13" s="388">
        <f>-0.0002702024*D13^5+0.0070152744*D13^4-0.0684282308*D13^3+0.303994227*D13^2-0.158105984*D13+0.1037020483</f>
        <v>0.9268787330342082</v>
      </c>
      <c r="F13" s="389">
        <f>IF(D41="UDEN FOR OMRÅDET","NOT POSSIBLE",IF(B5&lt;1150,16,((((1.3*D13^2-3.3*D13+17.4))))))</f>
        <v>18.351999999999997</v>
      </c>
      <c r="K13" s="21"/>
    </row>
    <row r="14" spans="1:12" x14ac:dyDescent="0.2">
      <c r="A14" s="328" t="s">
        <v>491</v>
      </c>
      <c r="B14" s="329" t="s">
        <v>554</v>
      </c>
      <c r="C14" s="329" t="s">
        <v>466</v>
      </c>
      <c r="D14" s="392">
        <f>IF(D42="UDEN FOR OMRÅDET","NOT POSSIBLE",(ROUND(3.577666E-19*B5^6-2.0108634327E-15*B5^5+4.5155824969614E-12*B5^4-5.14850949044569E-09*B5^3+3.06014542707752E-06*B5^2+0.000866072655118996*B5+0.398843987528968,1)))</f>
        <v>2.9</v>
      </c>
      <c r="E14" s="388"/>
      <c r="F14" s="389">
        <f>IF(D42="UDEN FOR OMRÅDET","NOT POSSIBLE",IF(B5&lt;975,10.2,((((-2*D14^2+18.6*D14-16.4))))))</f>
        <v>20.720000000000006</v>
      </c>
      <c r="K14" s="21"/>
    </row>
    <row r="15" spans="1:12" x14ac:dyDescent="0.2">
      <c r="A15" s="309" t="s">
        <v>492</v>
      </c>
      <c r="B15" s="187" t="s">
        <v>493</v>
      </c>
      <c r="C15" s="187" t="s">
        <v>64</v>
      </c>
      <c r="D15" s="392">
        <f>IF(D43="UDEN FOR OMRÅDET","NOT POSSIBLE",(ROUND(1.6084E-16*B5^5-7.8792682E-13*B5^4+1.22444138078E-09*B5^3-5.1797692941027E-07*B5^2+0.00125732825340572*B5+0.327414644949624,1)
))</f>
        <v>2.4</v>
      </c>
      <c r="E15" s="388">
        <f>-0.0001720525*D15^5+0.0050695668*D15^4-0.0602406174*D15^3+0.3152398884*D15^2-0.0451710556*D15+0.0404546674</f>
        <v>1.0695557620124798</v>
      </c>
      <c r="F15" s="389">
        <f>IF(D43="UDEN FOR OMRÅDET","NOT POSSIBLE",IF(B5&lt;550,14,((((-0.299047619*D15^4+2.8238095238*D15^3-6.6666666667*D15^2+5.819047619*D15+12.4228571429))))))</f>
        <v>17.1032320011848</v>
      </c>
      <c r="K15" s="21"/>
    </row>
    <row r="16" spans="1:12" x14ac:dyDescent="0.2">
      <c r="A16" s="328" t="s">
        <v>556</v>
      </c>
      <c r="B16" s="329" t="s">
        <v>501</v>
      </c>
      <c r="C16" s="329" t="s">
        <v>68</v>
      </c>
      <c r="D16" s="392">
        <f>IF(D44="UDEN FOR OMRÅDET","NOT POSSIBLE",(0.0000000000000000485*B5^5-0.000000000000173929*B5^4+2.1806023467E-10*B5^3+5.857120184228E-08*B5^2+0.00159001465864468*B5+0.259046204559444))</f>
        <v>2.9995880011828446</v>
      </c>
      <c r="E16" s="388">
        <f>-0.0001720525*D16^5+0.0050695668*D16^4-0.0602406174*D16^3+0.3152398884*D16^2-0.0451710556*D16+0.0404546674</f>
        <v>1.4841425679247082</v>
      </c>
      <c r="F16" s="389">
        <f>IF(D44="UDEN FOR OMRÅDET","NOT POSSIBLE",IF(B5&lt;150,10,((((0.1321966693*D16^2+0.2648295004*D16+9.8240681998))))))</f>
        <v>11.807890848470247</v>
      </c>
      <c r="K16" s="21"/>
    </row>
    <row r="17" spans="1:11" x14ac:dyDescent="0.2">
      <c r="A17" s="309" t="s">
        <v>63</v>
      </c>
      <c r="B17" s="187" t="s">
        <v>479</v>
      </c>
      <c r="C17" s="187" t="s">
        <v>66</v>
      </c>
      <c r="D17" s="392">
        <f>IF(D45="UDEN FOR OMRÅDET","NOT POSSIBLE",(-0.0000000000000007646*B5^4+8.66167203E-12*B5^3-1.368304333946E-08*B5^2+0.000674608449084757*B5+0.365102207453672))</f>
        <v>1.3715903891682724</v>
      </c>
      <c r="E17" s="388">
        <f xml:space="preserve"> -0.0002207819*D17^5+0.0048575488*D17^4-0.042801013*D17^3+0.1612668541*D17^2+0.9429656517*D17-0.4890993807</f>
        <v>1.0133277307201527</v>
      </c>
      <c r="F17" s="389">
        <f>IF(D45="UDEN FOR OMRÅDET","NOT POSSIBLE",IF(B5&lt;200,15,((((0.2852498017*D17^2+0.4377874703*D17+14.6948850119))))))</f>
        <v>15.831979196419539</v>
      </c>
      <c r="K17" s="21"/>
    </row>
    <row r="18" spans="1:11" x14ac:dyDescent="0.2">
      <c r="A18" s="328" t="s">
        <v>65</v>
      </c>
      <c r="B18" s="329" t="s">
        <v>473</v>
      </c>
      <c r="C18" s="329" t="s">
        <v>466</v>
      </c>
      <c r="D18" s="392">
        <f>IF(D46="UDEN FOR OMRÅDET","NOT POSSIBLE",(5.9873E-16*B5^4-0.0000000000095790398*B5^3+3.922038370896E-08*B5^2+0.0005179824896256*B5+0.107933010658806))</f>
        <v>0.94385441974236606</v>
      </c>
      <c r="E18" s="388">
        <f>-0.0012675993*D18^5+0.0341544632*D18^4-0.344969967*D18^3+1.5414329114*D18^2-1.1127621642*D18+0.3349824205</f>
        <v>0.39399058994099073</v>
      </c>
      <c r="F18" s="389">
        <f>IF(D46="UDEN FOR OMRÅDET","NOT POSSIBLE",IF(B5&lt;3350,10,((((0.95*D18^2-2.25*D18+10.8))))))</f>
        <v>10</v>
      </c>
      <c r="K18" s="21"/>
    </row>
    <row r="19" spans="1:11" ht="13.5" thickBot="1" x14ac:dyDescent="0.25">
      <c r="A19" s="310" t="s">
        <v>67</v>
      </c>
      <c r="B19" s="311" t="s">
        <v>474</v>
      </c>
      <c r="C19" s="311" t="s">
        <v>466</v>
      </c>
      <c r="D19" s="394">
        <f>IF(D47="UDEN FOR OMRÅDET","NOT POSSIBLE",(ROUND(-0.00000000000000007*B5^4+0.00000000000118072*B5^3-0.00000001872155789*B5^2+0.00052869856838356*B5+0.0496570952659024,1)))</f>
        <v>0.8</v>
      </c>
      <c r="E19" s="390">
        <f>-0.000196373*D19^5+0.0050851175*D19^4-0.0540651414*D19^3+0.1694730368*D19^2+2.4082032907*D19-1.4693911114</f>
        <v>0.53997142893855998</v>
      </c>
      <c r="F19" s="391">
        <f>IF(D47="UDEN FOR OMRÅDET","NOT POSSIBLE",IF(B5&lt;4200,10,((((-0.1914*D19^4+1.831*D19^3-4*D19^2+3.1548*D19+9.2057))))))</f>
        <v>10</v>
      </c>
      <c r="K19" s="21"/>
    </row>
    <row r="20" spans="1:11" ht="13.5" thickTop="1" x14ac:dyDescent="0.2">
      <c r="A20" s="22"/>
      <c r="E20" s="25"/>
      <c r="K20" s="21"/>
    </row>
    <row r="21" spans="1:11" x14ac:dyDescent="0.2">
      <c r="A21" s="22"/>
      <c r="E21" s="23"/>
      <c r="F21" s="23"/>
      <c r="K21" s="21"/>
    </row>
    <row r="22" spans="1:11" x14ac:dyDescent="0.2">
      <c r="A22" s="22"/>
      <c r="E22" s="17"/>
      <c r="K22" s="21"/>
    </row>
    <row r="23" spans="1:11" x14ac:dyDescent="0.2">
      <c r="A23" s="22"/>
      <c r="E23" s="43"/>
      <c r="K23" s="21"/>
    </row>
    <row r="24" spans="1:11" x14ac:dyDescent="0.2">
      <c r="A24" s="22"/>
      <c r="E24" s="43"/>
      <c r="K24" s="21"/>
    </row>
    <row r="25" spans="1:11" x14ac:dyDescent="0.2">
      <c r="A25" s="22"/>
      <c r="E25" s="43"/>
      <c r="K25" s="21"/>
    </row>
    <row r="26" spans="1:11" x14ac:dyDescent="0.2">
      <c r="A26" s="22"/>
      <c r="E26" s="43"/>
      <c r="K26" s="21"/>
    </row>
    <row r="27" spans="1:11" x14ac:dyDescent="0.2">
      <c r="A27" s="22"/>
      <c r="E27" s="43"/>
      <c r="K27" s="21"/>
    </row>
    <row r="28" spans="1:11" x14ac:dyDescent="0.2">
      <c r="A28" s="22"/>
      <c r="E28" s="43"/>
      <c r="K28" s="21"/>
    </row>
    <row r="29" spans="1:11" x14ac:dyDescent="0.2">
      <c r="A29" s="22"/>
      <c r="E29" s="43"/>
      <c r="K29" s="21"/>
    </row>
    <row r="30" spans="1:11" x14ac:dyDescent="0.2">
      <c r="A30" s="22"/>
      <c r="E30" s="43"/>
      <c r="K30" s="21"/>
    </row>
    <row r="31" spans="1:11" x14ac:dyDescent="0.2">
      <c r="A31" s="22"/>
      <c r="E31" s="43"/>
      <c r="K31" s="21"/>
    </row>
    <row r="32" spans="1:11" x14ac:dyDescent="0.2">
      <c r="A32" s="22"/>
      <c r="F32" s="26"/>
      <c r="K32" s="21"/>
    </row>
    <row r="33" spans="1:11" ht="13.5" thickBot="1" x14ac:dyDescent="0.25">
      <c r="A33" s="27" t="s">
        <v>53</v>
      </c>
      <c r="B33" s="28"/>
      <c r="C33" s="28"/>
      <c r="D33" s="28"/>
      <c r="E33" s="28"/>
      <c r="F33" s="28"/>
      <c r="G33" s="28"/>
      <c r="H33" s="28"/>
      <c r="I33" s="28"/>
      <c r="J33" s="28"/>
      <c r="K33" s="29"/>
    </row>
    <row r="34" spans="1:11" ht="10.5" customHeight="1" thickTop="1" x14ac:dyDescent="0.2"/>
    <row r="36" spans="1:11" ht="13.5" hidden="1" thickBot="1" x14ac:dyDescent="0.25"/>
    <row r="37" spans="1:11" ht="13.5" hidden="1" thickTop="1" x14ac:dyDescent="0.2">
      <c r="A37" s="9" t="s">
        <v>0</v>
      </c>
      <c r="B37" s="10" t="s">
        <v>4</v>
      </c>
      <c r="C37" s="10" t="s">
        <v>5</v>
      </c>
      <c r="D37" s="11" t="s">
        <v>571</v>
      </c>
      <c r="E37" s="10"/>
    </row>
    <row r="38" spans="1:11" hidden="1" x14ac:dyDescent="0.2">
      <c r="A38" s="13" t="s">
        <v>70</v>
      </c>
      <c r="B38" s="36">
        <v>40</v>
      </c>
      <c r="C38" s="1">
        <v>900</v>
      </c>
      <c r="D38" s="2" t="str">
        <f t="shared" ref="D38:D47" si="0">IF($B$5&lt;=B38-1,"UDEN FOR OMRÅDET",IF($B$5&gt;=C38+1,"UDEN FOR OMRÅDET",$B$5))</f>
        <v>UDEN FOR OMRÅDET</v>
      </c>
      <c r="E38" s="44"/>
    </row>
    <row r="39" spans="1:11" hidden="1" x14ac:dyDescent="0.2">
      <c r="A39" s="13" t="s">
        <v>71</v>
      </c>
      <c r="B39" s="36">
        <v>60</v>
      </c>
      <c r="C39" s="1">
        <v>1080</v>
      </c>
      <c r="D39" s="2" t="str">
        <f t="shared" si="0"/>
        <v>UDEN FOR OMRÅDET</v>
      </c>
      <c r="E39" s="44"/>
    </row>
    <row r="40" spans="1:11" hidden="1" x14ac:dyDescent="0.2">
      <c r="A40" s="13" t="s">
        <v>72</v>
      </c>
      <c r="B40" s="36">
        <v>86</v>
      </c>
      <c r="C40" s="1">
        <v>1550</v>
      </c>
      <c r="D40" s="2">
        <f t="shared" si="0"/>
        <v>1500</v>
      </c>
      <c r="E40" s="44"/>
    </row>
    <row r="41" spans="1:11" hidden="1" x14ac:dyDescent="0.2">
      <c r="A41" s="13" t="s">
        <v>73</v>
      </c>
      <c r="B41" s="36">
        <v>102</v>
      </c>
      <c r="C41" s="1">
        <v>1930</v>
      </c>
      <c r="D41" s="2">
        <f t="shared" si="0"/>
        <v>1500</v>
      </c>
      <c r="E41" s="44"/>
    </row>
    <row r="42" spans="1:11" hidden="1" x14ac:dyDescent="0.2">
      <c r="A42" s="13" t="s">
        <v>74</v>
      </c>
      <c r="B42" s="36">
        <v>95</v>
      </c>
      <c r="C42" s="1">
        <v>2000</v>
      </c>
      <c r="D42" s="2">
        <f t="shared" si="0"/>
        <v>1500</v>
      </c>
      <c r="E42" s="44"/>
    </row>
    <row r="43" spans="1:11" hidden="1" x14ac:dyDescent="0.2">
      <c r="A43" s="13" t="s">
        <v>75</v>
      </c>
      <c r="B43" s="36">
        <v>137</v>
      </c>
      <c r="C43" s="1">
        <v>2400</v>
      </c>
      <c r="D43" s="2">
        <f t="shared" si="0"/>
        <v>1500</v>
      </c>
      <c r="E43" s="44"/>
    </row>
    <row r="44" spans="1:11" hidden="1" x14ac:dyDescent="0.2">
      <c r="A44" s="13" t="s">
        <v>556</v>
      </c>
      <c r="B44" s="36">
        <v>150</v>
      </c>
      <c r="C44" s="1">
        <v>1930</v>
      </c>
      <c r="D44" s="2">
        <f t="shared" si="0"/>
        <v>1500</v>
      </c>
      <c r="E44" s="44"/>
    </row>
    <row r="45" spans="1:11" hidden="1" x14ac:dyDescent="0.2">
      <c r="A45" s="13" t="s">
        <v>63</v>
      </c>
      <c r="B45" s="36">
        <v>200</v>
      </c>
      <c r="C45" s="1">
        <v>5000</v>
      </c>
      <c r="D45" s="2">
        <f t="shared" si="0"/>
        <v>1500</v>
      </c>
      <c r="E45" s="44"/>
    </row>
    <row r="46" spans="1:11" hidden="1" x14ac:dyDescent="0.2">
      <c r="A46" s="13" t="s">
        <v>65</v>
      </c>
      <c r="B46" s="2">
        <v>719</v>
      </c>
      <c r="C46" s="2">
        <v>7400</v>
      </c>
      <c r="D46" s="2">
        <f t="shared" si="0"/>
        <v>1500</v>
      </c>
      <c r="E46" s="46"/>
    </row>
    <row r="47" spans="1:11" ht="13.5" hidden="1" thickBot="1" x14ac:dyDescent="0.25">
      <c r="A47" s="15" t="s">
        <v>67</v>
      </c>
      <c r="B47" s="16">
        <v>900</v>
      </c>
      <c r="C47" s="16">
        <v>10350</v>
      </c>
      <c r="D47" s="16">
        <f t="shared" si="0"/>
        <v>1500</v>
      </c>
      <c r="E47" s="47"/>
    </row>
    <row r="48" spans="1:11" x14ac:dyDescent="0.2">
      <c r="A48" s="8"/>
      <c r="B48" s="8"/>
      <c r="C48" s="8"/>
    </row>
    <row r="51" spans="5:5" x14ac:dyDescent="0.2">
      <c r="E51" s="25"/>
    </row>
  </sheetData>
  <sheetProtection sheet="1" objects="1" scenarios="1"/>
  <mergeCells count="5">
    <mergeCell ref="A1:K1"/>
    <mergeCell ref="A8:A9"/>
    <mergeCell ref="B8:C8"/>
    <mergeCell ref="D8:F8"/>
    <mergeCell ref="A2:K2"/>
  </mergeCells>
  <pageMargins left="0.59055118110236227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0CD9-F991-42C1-A571-FBB0A929620E}">
  <dimension ref="A1:M78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46" t="s">
        <v>731</v>
      </c>
      <c r="B1" s="747"/>
      <c r="C1" s="747"/>
      <c r="D1" s="747"/>
      <c r="E1" s="747"/>
      <c r="F1" s="747"/>
      <c r="G1" s="747"/>
      <c r="H1" s="747"/>
      <c r="I1" s="747"/>
      <c r="J1" s="748"/>
      <c r="K1" s="330"/>
    </row>
    <row r="2" spans="1:11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0"/>
      <c r="J2" s="741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50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49" t="s">
        <v>600</v>
      </c>
      <c r="B8" s="742" t="s">
        <v>49</v>
      </c>
      <c r="C8" s="742"/>
      <c r="D8" s="742" t="s">
        <v>59</v>
      </c>
      <c r="E8" s="743"/>
      <c r="J8" s="338"/>
    </row>
    <row r="9" spans="1:11" x14ac:dyDescent="0.2">
      <c r="A9" s="750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342" t="s">
        <v>603</v>
      </c>
      <c r="B10" s="187" t="s">
        <v>628</v>
      </c>
      <c r="C10" s="187" t="s">
        <v>530</v>
      </c>
      <c r="D10" s="395" t="str">
        <f>IF(D51="UDEN FOR OMRÅDET","NOT POSSIBLE",(-0.0000663377*B5^4+0.0026983179*B5^3-0.0548455003*B5^2+0.7520584843*B5-0.3425667215))</f>
        <v>NOT POSSIBLE</v>
      </c>
      <c r="E10" s="396" t="str">
        <f>IF(D51="UDEN FOR OMRÅDET","NOT POSSIBLE",IF($B$5&lt;1.4,10,((((-0.5707282913*D10^4+5.3739495798*D10^3-14.4754901961*D10^2+16.3697478992*D10+4.3025210084))))))</f>
        <v>NOT POSSIBLE</v>
      </c>
      <c r="J10" s="338"/>
    </row>
    <row r="11" spans="1:11" x14ac:dyDescent="0.2">
      <c r="A11" s="442" t="s">
        <v>602</v>
      </c>
      <c r="B11" s="341" t="s">
        <v>539</v>
      </c>
      <c r="C11" s="341" t="s">
        <v>519</v>
      </c>
      <c r="D11" s="395" t="str">
        <f>IF(D52="UDEN FOR OMRÅDET","NOT POSSIBLE",(-0.0007*B5^3+0.0111*B5^2+0.2671*B5-0.1437))</f>
        <v>NOT POSSIBLE</v>
      </c>
      <c r="E11" s="396" t="str">
        <f>IF(D52="UDEN FOR OMRÅDET","NOT POSSIBLE",IF($B$5&lt;3.9,6.5,((((0.25*D11^3-0.25*D11^2+0.5*D11+6))))))</f>
        <v>NOT POSSIBLE</v>
      </c>
      <c r="J11" s="338"/>
    </row>
    <row r="12" spans="1:11" x14ac:dyDescent="0.2">
      <c r="A12" s="342" t="s">
        <v>601</v>
      </c>
      <c r="B12" s="343" t="s">
        <v>540</v>
      </c>
      <c r="C12" s="343" t="s">
        <v>520</v>
      </c>
      <c r="D12" s="395" t="str">
        <f>IF(D53="UDEN FOR OMRÅDET","NOT POSSIBLE",(-0.000159*B5^3+0.004239*B5^2+0.159774*B5-0.099711))</f>
        <v>NOT POSSIBLE</v>
      </c>
      <c r="E12" s="396" t="str">
        <f>IF(D53="UDEN FOR OMRÅDET","NOT POSSIBLE",IF($B$5&lt;6.2,19,((((0.6667*D12^3-0.5*D12^2-1.1667*D12+20))))))</f>
        <v>NOT POSSIBLE</v>
      </c>
      <c r="J12" s="338"/>
    </row>
    <row r="13" spans="1:11" x14ac:dyDescent="0.2">
      <c r="A13" s="442" t="s">
        <v>604</v>
      </c>
      <c r="B13" s="341" t="s">
        <v>539</v>
      </c>
      <c r="C13" s="341" t="s">
        <v>519</v>
      </c>
      <c r="D13" s="395" t="str">
        <f>IF(D54="UDEN FOR OMRÅDET","NOT POSSIBLE",(-0.0007*B5^3+0.0111*B5^2+0.2671*B5-0.1437))</f>
        <v>NOT POSSIBLE</v>
      </c>
      <c r="E13" s="396" t="str">
        <f>IF(D54="UDEN FOR OMRÅDET","NOT POSSIBLE",IF($B$5&lt;3.9,6.5,((((0.25*D13^3-0.25*D13^2+0.5*D13+6))))))</f>
        <v>NOT POSSIBLE</v>
      </c>
      <c r="J13" s="338"/>
    </row>
    <row r="14" spans="1:11" x14ac:dyDescent="0.2">
      <c r="A14" s="342" t="s">
        <v>605</v>
      </c>
      <c r="B14" s="343" t="s">
        <v>597</v>
      </c>
      <c r="C14" s="343" t="s">
        <v>520</v>
      </c>
      <c r="D14" s="395" t="str">
        <f>IF(D55="UDEN FOR OMRÅDET","NOT POSSIBLE",(0.0000312913*B5^4-0.0019202452*B5^3+0.0379747979*B5^2-0.0888173183*B5+0.4303082031))</f>
        <v>NOT POSSIBLE</v>
      </c>
      <c r="E14" s="396" t="str">
        <f>IF(D55="UDEN FOR OMRÅDET","NOT POSSIBLE",IF($B$5&lt;11.2,19,((((7.5*D14^2-33.5*D14+57))))))</f>
        <v>NOT POSSIBLE</v>
      </c>
      <c r="J14" s="338"/>
    </row>
    <row r="15" spans="1:11" x14ac:dyDescent="0.2">
      <c r="A15" s="442" t="s">
        <v>608</v>
      </c>
      <c r="B15" s="341" t="s">
        <v>541</v>
      </c>
      <c r="C15" s="341" t="s">
        <v>521</v>
      </c>
      <c r="D15" s="395" t="str">
        <f>IF(D56="UDEN FOR OMRÅDET","NOT POSSIBLE",(-0.000124*B5^3+0.002487*B5^2+0.185365*B5-0.283831))</f>
        <v>NOT POSSIBLE</v>
      </c>
      <c r="E15" s="396" t="str">
        <f>IF(D56="UDEN FOR OMRÅDET","NOT POSSIBLE",IF($B$5&lt;6.6,15,((((0.6667*D15^3-4.5*D15^2+11.833*D15+7))))))</f>
        <v>NOT POSSIBLE</v>
      </c>
      <c r="J15" s="338"/>
    </row>
    <row r="16" spans="1:11" x14ac:dyDescent="0.2">
      <c r="A16" s="342" t="s">
        <v>609</v>
      </c>
      <c r="B16" s="343" t="s">
        <v>542</v>
      </c>
      <c r="C16" s="343" t="s">
        <v>522</v>
      </c>
      <c r="D16" s="395" t="str">
        <f>IF(D57="UDEN FOR OMRÅDET","NOT POSSIBLE",(0.00000407*B5^4-0.00036799*B5^3+0.01016138*B5^2+0.03167768*B5+0.12121138))</f>
        <v>NOT POSSIBLE</v>
      </c>
      <c r="E16" s="396" t="str">
        <f>IF(D57="UDEN FOR OMRÅDET","NOT POSSIBLE",IF($B$5&lt;9.1,30,((((2.6667*D16^3-15.5*D16^2+29.833*D16+13))))))</f>
        <v>NOT POSSIBLE</v>
      </c>
      <c r="J16" s="338"/>
    </row>
    <row r="17" spans="1:10" x14ac:dyDescent="0.2">
      <c r="A17" s="442" t="s">
        <v>606</v>
      </c>
      <c r="B17" s="341" t="s">
        <v>541</v>
      </c>
      <c r="C17" s="341" t="s">
        <v>521</v>
      </c>
      <c r="D17" s="395" t="str">
        <f>IF(D58="UDEN FOR OMRÅDET","NOT POSSIBLE",(-0.000124*B5^3+0.002487*B5^2+0.185365*B5-0.283831))</f>
        <v>NOT POSSIBLE</v>
      </c>
      <c r="E17" s="396" t="str">
        <f>IF(D58="UDEN FOR OMRÅDET","NOT POSSIBLE",IF($B$5&lt;6.6,15,((((0.6667*D17^3-4.5*D17^2+11.833*D17+7))))))</f>
        <v>NOT POSSIBLE</v>
      </c>
      <c r="J17" s="338"/>
    </row>
    <row r="18" spans="1:10" x14ac:dyDescent="0.2">
      <c r="A18" s="342" t="s">
        <v>607</v>
      </c>
      <c r="B18" s="343" t="s">
        <v>542</v>
      </c>
      <c r="C18" s="343" t="s">
        <v>522</v>
      </c>
      <c r="D18" s="395" t="str">
        <f>IF(D59="UDEN FOR OMRÅDET","NOT POSSIBLE",(0.00000407*B5^4-0.00036799*B5^3+0.01016138*B5^2+0.03167768*B5+0.12121138))</f>
        <v>NOT POSSIBLE</v>
      </c>
      <c r="E18" s="396" t="str">
        <f>IF(D59="UDEN FOR OMRÅDET","NOT POSSIBLE",IF($B$5&lt;9.1,30,((((2.6667*D18^3-15.5*D18^2+29.833*D18+13))))))</f>
        <v>NOT POSSIBLE</v>
      </c>
      <c r="J18" s="338"/>
    </row>
    <row r="19" spans="1:10" x14ac:dyDescent="0.2">
      <c r="A19" s="442" t="s">
        <v>610</v>
      </c>
      <c r="B19" s="341" t="s">
        <v>543</v>
      </c>
      <c r="C19" s="341" t="s">
        <v>523</v>
      </c>
      <c r="D19" s="395" t="str">
        <f>IF(D60="UDEN FOR OMRÅDET","NOT POSSIBLE",(-0.000044*B5^3+0.000728*B5^2+0.150689*B5-0.254301))</f>
        <v>NOT POSSIBLE</v>
      </c>
      <c r="E19" s="734" t="str">
        <f>IF(D60="UDEN FOR OMRÅDET","NOT POSSIBLE",IF($B$5&lt;17.7,9,IF($B$5&lt;20.8,10,((((-0.0006059886*$B$5^4+0.0649009611*$B$5^3-2.5628151651*$B$5^2+44.8712899721*$B$5-285.0821289645)))))))</f>
        <v>NOT POSSIBLE</v>
      </c>
      <c r="J19" s="338"/>
    </row>
    <row r="20" spans="1:10" x14ac:dyDescent="0.2">
      <c r="A20" s="342" t="s">
        <v>611</v>
      </c>
      <c r="B20" s="343" t="s">
        <v>544</v>
      </c>
      <c r="C20" s="343" t="s">
        <v>524</v>
      </c>
      <c r="D20" s="395" t="str">
        <f>IF(D61="UDEN FOR OMRÅDET","NOT POSSIBLE",(0.00000156*B5^4-0.0001838*B5^3+0.00652234*B5^2+0.0239868*B5+0.17174038))</f>
        <v>NOT POSSIBLE</v>
      </c>
      <c r="E20" s="734" t="str">
        <f>IF(D61="UDEN FOR OMRÅDET","NOT POSSIBLE",IF($B$5&lt;16.3,15,IF($B$5&lt;21.5,16,IF($B$5&lt;25.2,17,((((0.0000276161*$B$5^4-0.0039238974*$B$5^3+0.2208392282*$B$5^2-5.0743110519*$B$5+56.3883348314))))))))</f>
        <v>NOT POSSIBLE</v>
      </c>
      <c r="J20" s="338"/>
    </row>
    <row r="21" spans="1:10" x14ac:dyDescent="0.2">
      <c r="A21" s="442" t="s">
        <v>612</v>
      </c>
      <c r="B21" s="341" t="s">
        <v>543</v>
      </c>
      <c r="C21" s="341" t="s">
        <v>523</v>
      </c>
      <c r="D21" s="395" t="str">
        <f>IF(D62="UDEN FOR OMRÅDET","NOT POSSIBLE",(-0.000044*B5^3+0.000728*B5^2+0.150689*B5-0.254301))</f>
        <v>NOT POSSIBLE</v>
      </c>
      <c r="E21" s="734" t="str">
        <f>IF(D62="UDEN FOR OMRÅDET","NOT POSSIBLE",IF($B$5&lt;17.7,9,IF($B$5&lt;20.8,10,((((-0.0006059886*$B$5^4+0.0649009611*$B$5^3-2.5628151651*$B$5^2+44.8712899721*$B$5-285.0821289645)))))))</f>
        <v>NOT POSSIBLE</v>
      </c>
      <c r="J21" s="338"/>
    </row>
    <row r="22" spans="1:10" x14ac:dyDescent="0.2">
      <c r="A22" s="342" t="s">
        <v>613</v>
      </c>
      <c r="B22" s="343" t="s">
        <v>544</v>
      </c>
      <c r="C22" s="343" t="s">
        <v>524</v>
      </c>
      <c r="D22" s="395" t="str">
        <f>IF(D63="UDEN FOR OMRÅDET","NOT POSSIBLE",(0.00000156*B5^4-0.0001838*B5^3+0.00652234*B5^2+0.0239868*B5+0.17174038))</f>
        <v>NOT POSSIBLE</v>
      </c>
      <c r="E22" s="734" t="str">
        <f>IF(D63="UDEN FOR OMRÅDET","NOT POSSIBLE",IF($B$5&lt;16.3,15,IF($B$5&lt;21.5,16,IF($B$5&lt;25.2,17,((((0.0000276161*$B$5^4-0.0039238974*$B$5^3+0.2208392282*$B$5^2-5.0743110519*$B$5+56.3883348314))))))))</f>
        <v>NOT POSSIBLE</v>
      </c>
      <c r="J22" s="338"/>
    </row>
    <row r="23" spans="1:10" x14ac:dyDescent="0.2">
      <c r="A23" s="442" t="s">
        <v>614</v>
      </c>
      <c r="B23" s="341" t="s">
        <v>545</v>
      </c>
      <c r="C23" s="341" t="s">
        <v>525</v>
      </c>
      <c r="D23" s="395">
        <f>IF(D64="UDEN FOR OMRÅDET","NOT POSSIBLE",(0.0000006139*B5^4-0.000106561*B5^3+0.0058288674*B5^2-0.0444580014*B5+0.4579242305))</f>
        <v>3.3239426605000002</v>
      </c>
      <c r="E23" s="734">
        <f>IF(D64="UDEN FOR OMRÅDET","NOT POSSIBLE",IF($B$5&lt;32.5,10,IF($B$5&lt;37.7,11,((((-0.0000319427*$B$5^4+0.0064092589*$B$5^3-0.4670887171*$B$5^2+15.0643654482*$B$5-171.8814946255)))))))</f>
        <v>15.130472534499916</v>
      </c>
      <c r="J23" s="338"/>
    </row>
    <row r="24" spans="1:10" x14ac:dyDescent="0.2">
      <c r="A24" s="342" t="s">
        <v>615</v>
      </c>
      <c r="B24" s="343" t="s">
        <v>546</v>
      </c>
      <c r="C24" s="343" t="s">
        <v>522</v>
      </c>
      <c r="D24" s="395">
        <f>IF(D65="UDEN FOR OMRÅDET","NOT POSSIBLE",(0.0000002014*B5^4-0.0000448209*B5^3+0.0030842417*B5^2-0.0208500823*B5+0.3651879533))</f>
        <v>2.6894255883000002</v>
      </c>
      <c r="E24" s="734">
        <f>IF(D65="UDEN FOR OMRÅDET","NOT POSSIBLE",IF($B$5&lt;44.6,16,((((0.0000007095*$B$5^4-0.0003256283*$B$5^3+0.0495869294*$B$5^2-2.412171463*$B$5+51.2332624781))))))</f>
        <v>18.322850328100003</v>
      </c>
      <c r="J24" s="338"/>
    </row>
    <row r="25" spans="1:10" x14ac:dyDescent="0.2">
      <c r="A25" s="442" t="s">
        <v>616</v>
      </c>
      <c r="B25" s="341" t="s">
        <v>545</v>
      </c>
      <c r="C25" s="341" t="s">
        <v>525</v>
      </c>
      <c r="D25" s="395">
        <f>IF(D66="UDEN FOR OMRÅDET","NOT POSSIBLE",(0.0000006139*B5^4-0.000106561*B5^3+0.0058288674*B5^2-0.0444580014*B5+0.4579242305))</f>
        <v>3.3239426605000002</v>
      </c>
      <c r="E25" s="734">
        <f>IF(D66="UDEN FOR OMRÅDET","NOT POSSIBLE",IF($B$5&lt;32.5,10,IF($B$5&lt;37.7,11,((((-0.0000319427*$B$5^4+0.0064092589*$B$5^3-0.4670887171*$B$5^2+15.0643654482*$B$5-171.8814946255)))))))</f>
        <v>15.130472534499916</v>
      </c>
      <c r="J25" s="338"/>
    </row>
    <row r="26" spans="1:10" x14ac:dyDescent="0.2">
      <c r="A26" s="342" t="s">
        <v>617</v>
      </c>
      <c r="B26" s="343" t="s">
        <v>546</v>
      </c>
      <c r="C26" s="343" t="s">
        <v>522</v>
      </c>
      <c r="D26" s="395">
        <f>IF(D67="UDEN FOR OMRÅDET","NOT POSSIBLE",(0.0000002014*B5^4-0.0000448209*B5^3+0.0030842417*B5^2-0.0208500823*B5+0.3651879533))</f>
        <v>2.6894255883000002</v>
      </c>
      <c r="E26" s="734">
        <f>IF(D67="UDEN FOR OMRÅDET","NOT POSSIBLE",IF($B$5&lt;44.6,16,((((0.0000007095*$B$5^4-0.0003256283*$B$5^3+0.0495869294*$B$5^2-2.412171463*$B$5+51.2332624781))))))</f>
        <v>18.322850328100003</v>
      </c>
      <c r="J26" s="338"/>
    </row>
    <row r="27" spans="1:10" x14ac:dyDescent="0.2">
      <c r="A27" s="442" t="s">
        <v>618</v>
      </c>
      <c r="B27" s="341" t="s">
        <v>469</v>
      </c>
      <c r="C27" s="341" t="s">
        <v>523</v>
      </c>
      <c r="D27" s="395">
        <f>IF(D68="UDEN FOR OMRÅDET","NOT POSSIBLE",(-0.0000024*B5^3+0.00033459*B5^2+0.02873223*B5-0.03574711))</f>
        <v>1.9373393900000002</v>
      </c>
      <c r="E27" s="734">
        <f>IF(D68="UDEN FOR OMRÅDET","NOT POSSIBLE",IF($B$5&lt;28.5,16,((((0.00004639*B5^3-0.00631449*B5^2+0.36332191*B5+9.70047171))))))</f>
        <v>17.879092210000003</v>
      </c>
      <c r="J27" s="338"/>
    </row>
    <row r="28" spans="1:10" x14ac:dyDescent="0.2">
      <c r="A28" s="342" t="s">
        <v>619</v>
      </c>
      <c r="B28" s="343" t="s">
        <v>470</v>
      </c>
      <c r="C28" s="343" t="s">
        <v>526</v>
      </c>
      <c r="D28" s="395">
        <f>IF(D69="UDEN FOR OMRÅDET","NOT POSSIBLE",(0.0000000087*B5^4-0.0000042912*B5^3+0.000602127*B5^2+0.0030265472*B5+0.2709223762))</f>
        <v>1.4455422362000001</v>
      </c>
      <c r="E28" s="734">
        <f>IF(D69="UDEN FOR OMRÅDET","NOT POSSIBLE",IF($B$5&lt;36.5,27,((((0.00003815*B5^3-0.00623625*B5^2+0.39933964*B5+18.87714266))))))</f>
        <v>28.022249660000004</v>
      </c>
      <c r="J28" s="338"/>
    </row>
    <row r="29" spans="1:10" x14ac:dyDescent="0.2">
      <c r="A29" s="442" t="s">
        <v>620</v>
      </c>
      <c r="B29" s="341" t="s">
        <v>475</v>
      </c>
      <c r="C29" s="341" t="s">
        <v>527</v>
      </c>
      <c r="D29" s="395">
        <f>IF(D70="UDEN FOR OMRÅDET","NOT POSSIBLE",(0.0000000079*B5^4-0.0000031427*B5^3+0.0003781874*B5^2+0.0139576939*B5+0.0433215217))</f>
        <v>1.3432122167000002</v>
      </c>
      <c r="E29" s="734">
        <f>IF(D70="UDEN FOR OMRÅDET","NOT POSSIBLE",IF($B$5&lt;70.4,21,((((-1.6666666667*D29^3+13.5*D29^2-27.8333333333*D29+37))))))</f>
        <v>21</v>
      </c>
      <c r="J29" s="338"/>
    </row>
    <row r="30" spans="1:10" x14ac:dyDescent="0.2">
      <c r="A30" s="342" t="s">
        <v>621</v>
      </c>
      <c r="B30" s="343" t="s">
        <v>476</v>
      </c>
      <c r="C30" s="343" t="s">
        <v>528</v>
      </c>
      <c r="D30" s="395">
        <f>IF(D71="UDEN FOR OMRÅDET","NOT POSSIBLE",(0.000000004262661*B5^4-0.000002203935325*B5^3+0.000349196460344*B5^2+0.003639383225018*B5+0.193846671691572))</f>
        <v>0.9999566994274719</v>
      </c>
      <c r="E30" s="734">
        <f>IF(D71="UDEN FOR OMRÅDET","NOT POSSIBLE",IF($B$5&lt;89,33,((((-0.6666666667*D30^3+9.5*D30^2-22.8333333333*D30+47))))))</f>
        <v>33</v>
      </c>
      <c r="J30" s="338"/>
    </row>
    <row r="31" spans="1:10" x14ac:dyDescent="0.2">
      <c r="A31" s="442" t="s">
        <v>622</v>
      </c>
      <c r="B31" s="341" t="s">
        <v>535</v>
      </c>
      <c r="C31" s="341" t="s">
        <v>530</v>
      </c>
      <c r="D31" s="395" t="str">
        <f>IF(D72="UDEN FOR OMRÅDET","NOT POSSIBLE",(-0.000000006659004*B5^4+0.000004735461176*B5^3-0.001276874830972*B5^2+0.177325762767072*B5-7.83507332221808))</f>
        <v>NOT POSSIBLE</v>
      </c>
      <c r="E31" s="396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342" t="s">
        <v>623</v>
      </c>
      <c r="B32" s="343" t="s">
        <v>536</v>
      </c>
      <c r="C32" s="343" t="s">
        <v>529</v>
      </c>
      <c r="D32" s="395" t="str">
        <f>IF(D73="UDEN FOR OMRÅDET","NOT POSSIBLE",(-0.000000000611426*B5^4+0.000000656353947*B5^3-0.000284996728231*B5^2+0.074287325446848*B5-5.10628086784494))</f>
        <v>NOT POSSIBLE</v>
      </c>
      <c r="E32" s="396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442" t="s">
        <v>624</v>
      </c>
      <c r="B33" s="341" t="s">
        <v>537</v>
      </c>
      <c r="C33" s="341" t="s">
        <v>534</v>
      </c>
      <c r="D33" s="395" t="str">
        <f>IF(D74="UDEN FOR OMRÅDET","NOT POSSIBLE",(-2.52847125E-12*B5^5+4.68657669347E-09*B5^4-3.38486827279208E-06*B5^3+0.00116642754838534*B5^2-0.177120541975483*B5+10.2818610440989))</f>
        <v>NOT POSSIBLE</v>
      </c>
      <c r="E33" s="396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625</v>
      </c>
      <c r="B34" s="343" t="s">
        <v>538</v>
      </c>
      <c r="C34" s="343" t="s">
        <v>521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626</v>
      </c>
      <c r="B35" s="341" t="s">
        <v>537</v>
      </c>
      <c r="C35" s="341" t="s">
        <v>534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627</v>
      </c>
      <c r="B36" s="345" t="s">
        <v>538</v>
      </c>
      <c r="C36" s="345" t="s">
        <v>521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t="13.5" hidden="1" thickBot="1" x14ac:dyDescent="0.25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6</v>
      </c>
    </row>
    <row r="51" spans="1:4" ht="13.5" hidden="1" thickBot="1" x14ac:dyDescent="0.25">
      <c r="A51" s="441" t="s">
        <v>603</v>
      </c>
      <c r="B51" s="424">
        <v>1.4</v>
      </c>
      <c r="C51" s="424">
        <v>11.5</v>
      </c>
      <c r="D51" s="359" t="str">
        <f t="shared" ref="D51:D77" si="0">IF($B$5&lt;=B51-0.001,"UDEN FOR OMRÅDET",IF($B$5&gt;=C51+0.1,"UDEN FOR OMRÅDET",$B$5))</f>
        <v>UDEN FOR OMRÅDET</v>
      </c>
    </row>
    <row r="52" spans="1:4" hidden="1" x14ac:dyDescent="0.2">
      <c r="A52" s="353" t="s">
        <v>602</v>
      </c>
      <c r="B52" s="357">
        <v>2.48</v>
      </c>
      <c r="C52" s="358">
        <v>15</v>
      </c>
      <c r="D52" s="359" t="str">
        <f t="shared" si="0"/>
        <v>UDEN FOR OMRÅDET</v>
      </c>
    </row>
    <row r="53" spans="1:4" ht="13.5" hidden="1" thickBot="1" x14ac:dyDescent="0.25">
      <c r="A53" s="360" t="s">
        <v>601</v>
      </c>
      <c r="B53" s="357">
        <v>3.92</v>
      </c>
      <c r="C53" s="358">
        <v>24</v>
      </c>
      <c r="D53" s="359" t="str">
        <f t="shared" si="0"/>
        <v>UDEN FOR OMRÅDET</v>
      </c>
    </row>
    <row r="54" spans="1:4" hidden="1" x14ac:dyDescent="0.2">
      <c r="A54" s="353" t="s">
        <v>604</v>
      </c>
      <c r="B54" s="357">
        <v>2.48</v>
      </c>
      <c r="C54" s="358">
        <v>15</v>
      </c>
      <c r="D54" s="359" t="str">
        <f t="shared" si="0"/>
        <v>UDEN FOR OMRÅDET</v>
      </c>
    </row>
    <row r="55" spans="1:4" hidden="1" x14ac:dyDescent="0.2">
      <c r="A55" s="360" t="s">
        <v>605</v>
      </c>
      <c r="B55" s="357">
        <v>4.2</v>
      </c>
      <c r="C55" s="358">
        <v>24</v>
      </c>
      <c r="D55" s="359" t="str">
        <f t="shared" si="0"/>
        <v>UDEN FOR OMRÅDET</v>
      </c>
    </row>
    <row r="56" spans="1:4" hidden="1" x14ac:dyDescent="0.2">
      <c r="A56" s="361" t="s">
        <v>608</v>
      </c>
      <c r="B56" s="357">
        <v>4.38</v>
      </c>
      <c r="C56" s="358">
        <v>25</v>
      </c>
      <c r="D56" s="359" t="str">
        <f t="shared" si="0"/>
        <v>UDEN FOR OMRÅDET</v>
      </c>
    </row>
    <row r="57" spans="1:4" ht="13.5" hidden="1" thickBot="1" x14ac:dyDescent="0.25">
      <c r="A57" s="360" t="s">
        <v>609</v>
      </c>
      <c r="B57" s="357">
        <v>5.95</v>
      </c>
      <c r="C57" s="358">
        <v>35</v>
      </c>
      <c r="D57" s="359" t="str">
        <f t="shared" si="0"/>
        <v>UDEN FOR OMRÅDET</v>
      </c>
    </row>
    <row r="58" spans="1:4" hidden="1" x14ac:dyDescent="0.2">
      <c r="A58" s="353" t="s">
        <v>606</v>
      </c>
      <c r="B58" s="357">
        <v>4.38</v>
      </c>
      <c r="C58" s="358">
        <v>25</v>
      </c>
      <c r="D58" s="359" t="str">
        <f t="shared" si="0"/>
        <v>UDEN FOR OMRÅDET</v>
      </c>
    </row>
    <row r="59" spans="1:4" hidden="1" x14ac:dyDescent="0.2">
      <c r="A59" s="360" t="s">
        <v>607</v>
      </c>
      <c r="B59" s="357">
        <v>5.95</v>
      </c>
      <c r="C59" s="358">
        <v>35</v>
      </c>
      <c r="D59" s="359" t="str">
        <f t="shared" si="0"/>
        <v>UDEN FOR OMRÅDET</v>
      </c>
    </row>
    <row r="60" spans="1:4" hidden="1" x14ac:dyDescent="0.2">
      <c r="A60" s="361" t="s">
        <v>610</v>
      </c>
      <c r="B60" s="357">
        <v>5.3</v>
      </c>
      <c r="C60" s="358">
        <v>34</v>
      </c>
      <c r="D60" s="359" t="str">
        <f t="shared" si="0"/>
        <v>UDEN FOR OMRÅDET</v>
      </c>
    </row>
    <row r="61" spans="1:4" ht="13.5" hidden="1" thickBot="1" x14ac:dyDescent="0.25">
      <c r="A61" s="360" t="s">
        <v>611</v>
      </c>
      <c r="B61" s="357">
        <v>7</v>
      </c>
      <c r="C61" s="358">
        <v>43</v>
      </c>
      <c r="D61" s="359" t="str">
        <f t="shared" si="0"/>
        <v>UDEN FOR OMRÅDET</v>
      </c>
    </row>
    <row r="62" spans="1:4" hidden="1" x14ac:dyDescent="0.2">
      <c r="A62" s="353" t="s">
        <v>612</v>
      </c>
      <c r="B62" s="357">
        <v>5.34</v>
      </c>
      <c r="C62" s="358">
        <v>34</v>
      </c>
      <c r="D62" s="359" t="str">
        <f t="shared" si="0"/>
        <v>UDEN FOR OMRÅDET</v>
      </c>
    </row>
    <row r="63" spans="1:4" hidden="1" x14ac:dyDescent="0.2">
      <c r="A63" s="360" t="s">
        <v>613</v>
      </c>
      <c r="B63" s="357">
        <v>7.02</v>
      </c>
      <c r="C63" s="358">
        <v>43</v>
      </c>
      <c r="D63" s="359" t="str">
        <f t="shared" si="0"/>
        <v>UDEN FOR OMRÅDET</v>
      </c>
    </row>
    <row r="64" spans="1:4" hidden="1" x14ac:dyDescent="0.2">
      <c r="A64" s="361" t="s">
        <v>614</v>
      </c>
      <c r="B64" s="357">
        <v>12.1</v>
      </c>
      <c r="C64" s="358">
        <v>68</v>
      </c>
      <c r="D64" s="359">
        <f t="shared" si="0"/>
        <v>50</v>
      </c>
    </row>
    <row r="65" spans="1:4" ht="13.5" hidden="1" thickBot="1" x14ac:dyDescent="0.25">
      <c r="A65" s="360" t="s">
        <v>615</v>
      </c>
      <c r="B65" s="357">
        <v>14.8</v>
      </c>
      <c r="C65" s="358">
        <v>90</v>
      </c>
      <c r="D65" s="359">
        <f t="shared" si="0"/>
        <v>50</v>
      </c>
    </row>
    <row r="66" spans="1:4" hidden="1" x14ac:dyDescent="0.2">
      <c r="A66" s="353" t="s">
        <v>616</v>
      </c>
      <c r="B66" s="357">
        <v>12.1</v>
      </c>
      <c r="C66" s="358">
        <v>68</v>
      </c>
      <c r="D66" s="359">
        <f t="shared" si="0"/>
        <v>50</v>
      </c>
    </row>
    <row r="67" spans="1:4" hidden="1" x14ac:dyDescent="0.2">
      <c r="A67" s="360" t="s">
        <v>617</v>
      </c>
      <c r="B67" s="357">
        <v>14.8</v>
      </c>
      <c r="C67" s="358">
        <v>90</v>
      </c>
      <c r="D67" s="359">
        <f t="shared" si="0"/>
        <v>50</v>
      </c>
    </row>
    <row r="68" spans="1:4" hidden="1" x14ac:dyDescent="0.2">
      <c r="A68" s="361" t="s">
        <v>618</v>
      </c>
      <c r="B68" s="305">
        <v>18.5</v>
      </c>
      <c r="C68" s="358">
        <v>110</v>
      </c>
      <c r="D68" s="359">
        <f t="shared" si="0"/>
        <v>50</v>
      </c>
    </row>
    <row r="69" spans="1:4" hidden="1" x14ac:dyDescent="0.2">
      <c r="A69" s="360" t="s">
        <v>619</v>
      </c>
      <c r="B69" s="305">
        <v>23</v>
      </c>
      <c r="C69" s="358">
        <v>135</v>
      </c>
      <c r="D69" s="359">
        <f t="shared" si="0"/>
        <v>50</v>
      </c>
    </row>
    <row r="70" spans="1:4" hidden="1" x14ac:dyDescent="0.2">
      <c r="A70" s="361" t="s">
        <v>620</v>
      </c>
      <c r="B70" s="305">
        <v>25.6</v>
      </c>
      <c r="C70" s="358">
        <v>148</v>
      </c>
      <c r="D70" s="359">
        <f t="shared" si="0"/>
        <v>50</v>
      </c>
    </row>
    <row r="71" spans="1:4" hidden="1" x14ac:dyDescent="0.2">
      <c r="A71" s="360" t="s">
        <v>621</v>
      </c>
      <c r="B71" s="305">
        <v>32</v>
      </c>
      <c r="C71" s="358">
        <v>195</v>
      </c>
      <c r="D71" s="359">
        <f t="shared" si="0"/>
        <v>50</v>
      </c>
    </row>
    <row r="72" spans="1:4" hidden="1" x14ac:dyDescent="0.2">
      <c r="A72" s="361" t="s">
        <v>622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623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624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625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626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627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7"/>
  <sheetViews>
    <sheetView showGridLines="0" zoomScaleNormal="100" workbookViewId="0">
      <selection activeCell="N63" sqref="N63"/>
    </sheetView>
  </sheetViews>
  <sheetFormatPr defaultColWidth="8.85546875" defaultRowHeight="12.75" x14ac:dyDescent="0.2"/>
  <cols>
    <col min="1" max="1" width="10.7109375" customWidth="1"/>
    <col min="2" max="2" width="9.7109375" customWidth="1"/>
    <col min="3" max="3" width="16.42578125" customWidth="1"/>
    <col min="4" max="5" width="15.7109375" customWidth="1"/>
    <col min="6" max="6" width="6" bestFit="1" customWidth="1"/>
    <col min="7" max="7" width="5.7109375" bestFit="1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46" t="s">
        <v>455</v>
      </c>
      <c r="B1" s="747"/>
      <c r="C1" s="747"/>
      <c r="D1" s="747"/>
      <c r="E1" s="747"/>
      <c r="F1" s="747"/>
      <c r="G1" s="747"/>
      <c r="H1" s="747"/>
      <c r="I1" s="747"/>
      <c r="J1" s="748"/>
      <c r="K1" s="5"/>
    </row>
    <row r="2" spans="1:11" ht="21" thickBot="1" x14ac:dyDescent="0.35">
      <c r="A2" s="739" t="s">
        <v>729</v>
      </c>
      <c r="B2" s="740"/>
      <c r="C2" s="740"/>
      <c r="D2" s="740"/>
      <c r="E2" s="740"/>
      <c r="F2" s="740"/>
      <c r="G2" s="740"/>
      <c r="H2" s="740"/>
      <c r="I2" s="740"/>
      <c r="J2" s="741"/>
      <c r="K2" s="5"/>
    </row>
    <row r="3" spans="1:11" ht="13.5" thickTop="1" x14ac:dyDescent="0.2">
      <c r="A3" s="18"/>
      <c r="B3" s="40"/>
      <c r="C3" s="19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C4" s="17" t="s">
        <v>23</v>
      </c>
      <c r="E4" s="23"/>
      <c r="J4" s="21"/>
    </row>
    <row r="5" spans="1:11" ht="13.5" thickBot="1" x14ac:dyDescent="0.25">
      <c r="A5" s="30" t="s">
        <v>28</v>
      </c>
      <c r="B5" s="23"/>
      <c r="C5" s="303">
        <v>20</v>
      </c>
      <c r="D5" s="24" t="s">
        <v>46</v>
      </c>
      <c r="J5" s="21"/>
    </row>
    <row r="6" spans="1:11" ht="13.5" thickBot="1" x14ac:dyDescent="0.25">
      <c r="A6" s="30" t="s">
        <v>45</v>
      </c>
      <c r="B6" s="23"/>
      <c r="C6" s="303">
        <v>500</v>
      </c>
      <c r="D6" s="24" t="s">
        <v>47</v>
      </c>
      <c r="G6" s="23"/>
      <c r="J6" s="21"/>
    </row>
    <row r="7" spans="1:11" x14ac:dyDescent="0.2">
      <c r="A7" s="22"/>
      <c r="G7" s="23"/>
      <c r="J7" s="21"/>
    </row>
    <row r="8" spans="1:11" ht="13.5" thickBot="1" x14ac:dyDescent="0.25">
      <c r="A8" s="22"/>
      <c r="J8" s="21"/>
    </row>
    <row r="9" spans="1:11" ht="13.5" thickTop="1" x14ac:dyDescent="0.2">
      <c r="A9" s="851" t="s">
        <v>34</v>
      </c>
      <c r="B9" s="853" t="s">
        <v>48</v>
      </c>
      <c r="C9" s="742" t="s">
        <v>49</v>
      </c>
      <c r="D9" s="742"/>
      <c r="E9" s="12" t="s">
        <v>51</v>
      </c>
      <c r="J9" s="21"/>
    </row>
    <row r="10" spans="1:11" x14ac:dyDescent="0.2">
      <c r="A10" s="852"/>
      <c r="B10" s="854"/>
      <c r="C10" s="187" t="s">
        <v>44</v>
      </c>
      <c r="D10" s="187" t="s">
        <v>50</v>
      </c>
      <c r="E10" s="211" t="s">
        <v>24</v>
      </c>
      <c r="J10" s="21"/>
    </row>
    <row r="11" spans="1:11" x14ac:dyDescent="0.2">
      <c r="A11" s="319" t="s">
        <v>35</v>
      </c>
      <c r="B11" s="320" t="s">
        <v>36</v>
      </c>
      <c r="C11" s="321" t="s">
        <v>29</v>
      </c>
      <c r="D11" s="321" t="s">
        <v>453</v>
      </c>
      <c r="E11" s="401">
        <f>IF(I42="UDEN FOR OMRÅDET","NOT POSSIBLE",IF(J42="UDEN FOR OMRÅDET","NOT POSSIBLE",(-0.2+(($C$5-C42)*E42)+($C$6/D42))))</f>
        <v>11.838235294117649</v>
      </c>
      <c r="J11" s="21"/>
    </row>
    <row r="12" spans="1:11" x14ac:dyDescent="0.2">
      <c r="A12" s="322" t="s">
        <v>35</v>
      </c>
      <c r="B12" s="323" t="s">
        <v>37</v>
      </c>
      <c r="C12" s="187" t="s">
        <v>30</v>
      </c>
      <c r="D12" s="187" t="s">
        <v>454</v>
      </c>
      <c r="E12" s="401">
        <f>IF(I43="UDEN FOR OMRÅDET","NOT POSSIBLE",IF(J43="UDEN FOR OMRÅDET","NOT POSSIBLE",(-0.3+(($C$5-C43)*E43)+($C$6/D43))))</f>
        <v>1.3</v>
      </c>
      <c r="J12" s="21"/>
    </row>
    <row r="13" spans="1:11" x14ac:dyDescent="0.2">
      <c r="A13" s="319" t="s">
        <v>38</v>
      </c>
      <c r="B13" s="320" t="s">
        <v>36</v>
      </c>
      <c r="C13" s="321" t="s">
        <v>30</v>
      </c>
      <c r="D13" s="321" t="s">
        <v>453</v>
      </c>
      <c r="E13" s="401">
        <f>IF(I44="UDEN FOR OMRÅDET","NOT POSSIBLE",IF(J44="UDEN FOR OMRÅDET","NOT POSSIBLE",(-0.2+(($C$5-C44)*E44)+($C$6/D44))))</f>
        <v>11.838235294117649</v>
      </c>
      <c r="J13" s="21"/>
    </row>
    <row r="14" spans="1:11" x14ac:dyDescent="0.2">
      <c r="A14" s="322" t="s">
        <v>38</v>
      </c>
      <c r="B14" s="323" t="s">
        <v>37</v>
      </c>
      <c r="C14" s="187" t="s">
        <v>31</v>
      </c>
      <c r="D14" s="187" t="s">
        <v>454</v>
      </c>
      <c r="E14" s="401">
        <f>IF(I45="UDEN FOR OMRÅDET","NOT POSSIBLE",IF(J45="UDEN FOR OMRÅDET","NOT POSSIBLE",(-0.3+(($C$5-C45)*E45)+($C$6/D45))))</f>
        <v>1.2974440894568691</v>
      </c>
      <c r="J14" s="21"/>
    </row>
    <row r="15" spans="1:11" x14ac:dyDescent="0.2">
      <c r="A15" s="319" t="s">
        <v>39</v>
      </c>
      <c r="B15" s="320" t="s">
        <v>36</v>
      </c>
      <c r="C15" s="321" t="s">
        <v>494</v>
      </c>
      <c r="D15" s="321" t="s">
        <v>453</v>
      </c>
      <c r="E15" s="401" t="str">
        <f>IF(I46="UDEN FOR OMRÅDET","NOT POSSIBLE",IF(J46="UDEN FOR OMRÅDET","NOT POSSIBLE",(-1.9+(($C$5-C46)*E46)+($C$6/D46))))</f>
        <v>NOT POSSIBLE</v>
      </c>
      <c r="J15" s="21"/>
    </row>
    <row r="16" spans="1:11" x14ac:dyDescent="0.2">
      <c r="A16" s="322" t="s">
        <v>555</v>
      </c>
      <c r="B16" s="323" t="s">
        <v>43</v>
      </c>
      <c r="C16" s="187" t="s">
        <v>468</v>
      </c>
      <c r="D16" s="187" t="s">
        <v>454</v>
      </c>
      <c r="E16" s="401" t="str">
        <f>IF(I47="UDEN FOR OMRÅDET","NOT POSSIBLE",IF(J47="UDEN FOR OMRÅDET","NOT POSSIBLE",(-0.65+(($C$5-C47)*E47)+($C$6/D47))))</f>
        <v>NOT POSSIBLE</v>
      </c>
      <c r="J16" s="21"/>
    </row>
    <row r="17" spans="1:10" x14ac:dyDescent="0.2">
      <c r="A17" s="319" t="s">
        <v>40</v>
      </c>
      <c r="B17" s="320" t="s">
        <v>43</v>
      </c>
      <c r="C17" s="321" t="s">
        <v>32</v>
      </c>
      <c r="D17" s="321" t="s">
        <v>454</v>
      </c>
      <c r="E17" s="401" t="str">
        <f>IF(I48="UDEN FOR OMRÅDET","NOT POSSIBLE",IF(J48="UDEN FOR OMRÅDET","NOT POSSIBLE",(-0.87+(($C$5-C48)*E48)+($C$6/D48))))</f>
        <v>NOT POSSIBLE</v>
      </c>
      <c r="J17" s="21"/>
    </row>
    <row r="18" spans="1:10" x14ac:dyDescent="0.2">
      <c r="A18" s="363" t="s">
        <v>41</v>
      </c>
      <c r="B18" s="364" t="s">
        <v>43</v>
      </c>
      <c r="C18" s="365" t="s">
        <v>33</v>
      </c>
      <c r="D18" s="365" t="s">
        <v>454</v>
      </c>
      <c r="E18" s="401" t="str">
        <f>IF(I49="UDEN FOR OMRÅDET","NOT POSSIBLE",IF(J49="UDEN FOR OMRÅDET","NOT POSSIBLE",(-1.27+(($C$5-C49)*E49)+($C$6/D49))))</f>
        <v>NOT POSSIBLE</v>
      </c>
      <c r="J18" s="21"/>
    </row>
    <row r="19" spans="1:10" x14ac:dyDescent="0.2">
      <c r="A19" s="319" t="s">
        <v>42</v>
      </c>
      <c r="B19" s="320" t="s">
        <v>43</v>
      </c>
      <c r="C19" s="321" t="s">
        <v>485</v>
      </c>
      <c r="D19" s="321" t="s">
        <v>454</v>
      </c>
      <c r="E19" s="401" t="str">
        <f>IF(I50="UDEN FOR OMRÅDET","NOT POSSIBLE",IF(J50="UDEN FOR OMRÅDET","NOT POSSIBLE",(-3.27+(($C$5-C50)*E50)+($C$6/D50))))</f>
        <v>NOT POSSIBLE</v>
      </c>
      <c r="J19" s="21"/>
    </row>
    <row r="20" spans="1:10" ht="13.5" thickBot="1" x14ac:dyDescent="0.25">
      <c r="A20" s="438" t="s">
        <v>592</v>
      </c>
      <c r="B20" s="439" t="s">
        <v>43</v>
      </c>
      <c r="C20" s="311" t="s">
        <v>593</v>
      </c>
      <c r="D20" s="311" t="s">
        <v>454</v>
      </c>
      <c r="E20" s="402" t="str">
        <f>IF(I51="UDEN FOR OMRÅDET","NOT POSSIBLE",IF(J51="UDEN FOR OMRÅDET","NOT POSSIBLE",(-3.27+(($C$5-C51)*E51)+($C$6/D51))))</f>
        <v>NOT POSSIBLE</v>
      </c>
      <c r="J20" s="21"/>
    </row>
    <row r="21" spans="1:10" ht="14.25" thickTop="1" thickBot="1" x14ac:dyDescent="0.25">
      <c r="A21" s="22"/>
      <c r="D21" s="25"/>
      <c r="J21" s="21"/>
    </row>
    <row r="22" spans="1:10" ht="13.5" thickTop="1" x14ac:dyDescent="0.2">
      <c r="A22" s="744" t="s">
        <v>52</v>
      </c>
      <c r="B22" s="742"/>
      <c r="C22" s="742"/>
      <c r="D22" s="743"/>
      <c r="E22" s="23"/>
      <c r="J22" s="21"/>
    </row>
    <row r="23" spans="1:10" x14ac:dyDescent="0.2">
      <c r="A23" s="32" t="s">
        <v>22</v>
      </c>
      <c r="B23" s="318"/>
      <c r="C23" s="33" t="s">
        <v>25</v>
      </c>
      <c r="D23" s="34" t="s">
        <v>27</v>
      </c>
      <c r="J23" s="21"/>
    </row>
    <row r="24" spans="1:10" x14ac:dyDescent="0.2">
      <c r="A24" s="32" t="s">
        <v>12</v>
      </c>
      <c r="B24" s="318"/>
      <c r="C24" s="388">
        <f t="shared" ref="C24:C29" si="0">IF(E11="NOT POSSIBLE","NOT POSSIBLE",($C$6/(1000*F42))^2*100)</f>
        <v>2.9726516052318672</v>
      </c>
      <c r="D24" s="389">
        <f t="shared" ref="D24:D29" si="1">IF(E11="NOT POSSIBLE","NOT POSSIBLE",($C$5+C24))</f>
        <v>22.972651605231867</v>
      </c>
      <c r="J24" s="21"/>
    </row>
    <row r="25" spans="1:10" x14ac:dyDescent="0.2">
      <c r="A25" s="32" t="s">
        <v>13</v>
      </c>
      <c r="B25" s="318"/>
      <c r="C25" s="388">
        <f t="shared" si="0"/>
        <v>2.9726516052318672</v>
      </c>
      <c r="D25" s="389">
        <f t="shared" si="1"/>
        <v>22.972651605231867</v>
      </c>
      <c r="J25" s="21"/>
    </row>
    <row r="26" spans="1:10" x14ac:dyDescent="0.2">
      <c r="A26" s="32" t="s">
        <v>14</v>
      </c>
      <c r="B26" s="318"/>
      <c r="C26" s="388">
        <f t="shared" si="0"/>
        <v>2.0408163265306123</v>
      </c>
      <c r="D26" s="389">
        <f t="shared" si="1"/>
        <v>22.040816326530614</v>
      </c>
      <c r="J26" s="21"/>
    </row>
    <row r="27" spans="1:10" x14ac:dyDescent="0.2">
      <c r="A27" s="32" t="s">
        <v>15</v>
      </c>
      <c r="B27" s="318"/>
      <c r="C27" s="388">
        <f t="shared" si="0"/>
        <v>2.0408163265306123</v>
      </c>
      <c r="D27" s="389">
        <f t="shared" si="1"/>
        <v>22.040816326530614</v>
      </c>
      <c r="J27" s="21"/>
    </row>
    <row r="28" spans="1:10" x14ac:dyDescent="0.2">
      <c r="A28" s="32" t="s">
        <v>16</v>
      </c>
      <c r="B28" s="318"/>
      <c r="C28" s="388" t="str">
        <f t="shared" si="0"/>
        <v>NOT POSSIBLE</v>
      </c>
      <c r="D28" s="389" t="str">
        <f t="shared" si="1"/>
        <v>NOT POSSIBLE</v>
      </c>
      <c r="J28" s="21"/>
    </row>
    <row r="29" spans="1:10" x14ac:dyDescent="0.2">
      <c r="A29" s="32" t="s">
        <v>467</v>
      </c>
      <c r="B29" s="318"/>
      <c r="C29" s="388" t="str">
        <f t="shared" si="0"/>
        <v>NOT POSSIBLE</v>
      </c>
      <c r="D29" s="389" t="str">
        <f t="shared" si="1"/>
        <v>NOT POSSIBLE</v>
      </c>
      <c r="J29" s="21"/>
    </row>
    <row r="30" spans="1:10" x14ac:dyDescent="0.2">
      <c r="A30" s="32" t="s">
        <v>17</v>
      </c>
      <c r="B30" s="318"/>
      <c r="C30" s="388" t="str">
        <f t="shared" ref="C30" si="2">IF(E17="NOT POSSIBLE","NOT POSSIBLE",($C$6/(1000*F48))^2*100)</f>
        <v>NOT POSSIBLE</v>
      </c>
      <c r="D30" s="389" t="str">
        <f t="shared" ref="D30" si="3">IF(E17="NOT POSSIBLE","NOT POSSIBLE",($C$5+C30))</f>
        <v>NOT POSSIBLE</v>
      </c>
      <c r="J30" s="21"/>
    </row>
    <row r="31" spans="1:10" x14ac:dyDescent="0.2">
      <c r="A31" s="32" t="s">
        <v>18</v>
      </c>
      <c r="B31" s="318"/>
      <c r="C31" s="388" t="str">
        <f>IF(E18="NOT POSSIBLE","NOT POSSIBLE",($C$6/(1000*F49))^2*100)</f>
        <v>NOT POSSIBLE</v>
      </c>
      <c r="D31" s="389" t="str">
        <f>IF(E18="NOT POSSIBLE","NOT POSSIBLE",($C$5+C31))</f>
        <v>NOT POSSIBLE</v>
      </c>
      <c r="J31" s="21"/>
    </row>
    <row r="32" spans="1:10" x14ac:dyDescent="0.2">
      <c r="A32" s="32" t="s">
        <v>19</v>
      </c>
      <c r="B32" s="318"/>
      <c r="C32" s="388" t="str">
        <f>IF(E19="NOT POSSIBLE","NOT POSSIBLE",($C$6/(1000*F50))^2*100)</f>
        <v>NOT POSSIBLE</v>
      </c>
      <c r="D32" s="389" t="str">
        <f>IF(E19="NOT POSSIBLE","NOT POSSIBLE",($C$5+C32))</f>
        <v>NOT POSSIBLE</v>
      </c>
      <c r="J32" s="21"/>
    </row>
    <row r="33" spans="1:11" ht="13.5" thickBot="1" x14ac:dyDescent="0.25">
      <c r="A33" s="324" t="s">
        <v>591</v>
      </c>
      <c r="B33" s="325"/>
      <c r="C33" s="390" t="str">
        <f>IF(E20="NOT POSSIBLE","NOT POSSIBLE",($C$6/(1000*F51))^2*100)</f>
        <v>NOT POSSIBLE</v>
      </c>
      <c r="D33" s="391" t="str">
        <f>IF(E20="NOT POSSIBLE","NOT POSSIBLE",($C$5+C33))</f>
        <v>NOT POSSIBLE</v>
      </c>
      <c r="J33" s="21"/>
    </row>
    <row r="34" spans="1:11" ht="13.5" thickTop="1" x14ac:dyDescent="0.2">
      <c r="A34" s="307"/>
      <c r="B34" s="308"/>
      <c r="J34" s="21"/>
    </row>
    <row r="35" spans="1:11" x14ac:dyDescent="0.2">
      <c r="A35" s="307"/>
      <c r="B35" s="308"/>
      <c r="J35" s="21"/>
    </row>
    <row r="36" spans="1:11" x14ac:dyDescent="0.2">
      <c r="A36" s="22"/>
      <c r="E36" s="26"/>
      <c r="J36" s="21"/>
    </row>
    <row r="37" spans="1:11" ht="13.5" thickBot="1" x14ac:dyDescent="0.25">
      <c r="A37" s="27" t="s">
        <v>53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1" ht="13.5" hidden="1" thickTop="1" x14ac:dyDescent="0.2"/>
    <row r="39" spans="1:11" s="4" customFormat="1" ht="31.5" hidden="1" customHeight="1" x14ac:dyDescent="0.4">
      <c r="A39" s="849" t="s">
        <v>11</v>
      </c>
      <c r="B39" s="849"/>
      <c r="C39" s="850"/>
      <c r="D39" s="850"/>
      <c r="E39" s="850"/>
      <c r="F39" s="850"/>
      <c r="G39" s="850"/>
      <c r="H39" s="850"/>
      <c r="I39" s="850"/>
      <c r="J39" s="850"/>
      <c r="K39" s="6"/>
    </row>
    <row r="40" spans="1:11" ht="13.5" hidden="1" thickBot="1" x14ac:dyDescent="0.25"/>
    <row r="41" spans="1:11" ht="13.5" hidden="1" thickTop="1" x14ac:dyDescent="0.2">
      <c r="A41" s="9" t="s">
        <v>0</v>
      </c>
      <c r="B41" s="41"/>
      <c r="C41" s="10" t="s">
        <v>1</v>
      </c>
      <c r="D41" s="10" t="s">
        <v>2</v>
      </c>
      <c r="E41" s="10" t="s">
        <v>3</v>
      </c>
      <c r="F41" s="10" t="s">
        <v>8</v>
      </c>
      <c r="G41" s="10" t="s">
        <v>4</v>
      </c>
      <c r="H41" s="10" t="s">
        <v>5</v>
      </c>
      <c r="I41" s="11" t="s">
        <v>6</v>
      </c>
      <c r="J41" s="12" t="s">
        <v>7</v>
      </c>
    </row>
    <row r="42" spans="1:11" hidden="1" x14ac:dyDescent="0.2">
      <c r="A42" s="13" t="s">
        <v>12</v>
      </c>
      <c r="B42" s="42"/>
      <c r="C42" s="7">
        <v>5</v>
      </c>
      <c r="D42" s="38">
        <v>272</v>
      </c>
      <c r="E42" s="306">
        <v>0.68</v>
      </c>
      <c r="F42" s="37">
        <v>2.9</v>
      </c>
      <c r="G42" s="36">
        <v>50</v>
      </c>
      <c r="H42" s="1">
        <v>600</v>
      </c>
      <c r="I42" s="2">
        <f>IF($C$6&lt;=G42-1,"UDEN FOR OMRÅDET",IF($C$6&gt;=H42+1,"UDEN FOR OMRÅDET",$C$6))</f>
        <v>500</v>
      </c>
      <c r="J42" s="14">
        <f>IF($C$5&lt;5,"UDEN FOR OMRÅDET",IF($C$5&gt;30,"UDEN FOR OMRÅDET",$C$5))</f>
        <v>20</v>
      </c>
    </row>
    <row r="43" spans="1:11" hidden="1" x14ac:dyDescent="0.2">
      <c r="A43" s="13" t="s">
        <v>13</v>
      </c>
      <c r="B43" s="42"/>
      <c r="C43" s="7">
        <v>20</v>
      </c>
      <c r="D43" s="38">
        <v>312.5</v>
      </c>
      <c r="E43" s="306">
        <v>0.40150000000000002</v>
      </c>
      <c r="F43" s="37">
        <v>2.9</v>
      </c>
      <c r="G43" s="36">
        <v>100</v>
      </c>
      <c r="H43" s="1">
        <v>1000</v>
      </c>
      <c r="I43" s="2">
        <f>IF($C$6&lt;=G43-1,"UDEN FOR OMRÅDET",IF($C$6&gt;=H43+1,"UDEN FOR OMRÅDET",$C$6))</f>
        <v>500</v>
      </c>
      <c r="J43" s="14">
        <f>IF($C$5&lt;20,"UDEN FOR OMRÅDET",IF($C$5&gt;60,"UDEN FOR OMRÅDET",$C$5))</f>
        <v>20</v>
      </c>
    </row>
    <row r="44" spans="1:11" hidden="1" x14ac:dyDescent="0.2">
      <c r="A44" s="314" t="s">
        <v>14</v>
      </c>
      <c r="B44" s="42"/>
      <c r="C44" s="7">
        <v>5</v>
      </c>
      <c r="D44" s="38">
        <v>272</v>
      </c>
      <c r="E44" s="306">
        <v>0.68</v>
      </c>
      <c r="F44" s="37">
        <v>3.5</v>
      </c>
      <c r="G44" s="36">
        <v>100</v>
      </c>
      <c r="H44" s="1">
        <v>1000</v>
      </c>
      <c r="I44" s="2">
        <f t="shared" ref="I44:I50" si="4">IF($C$6&lt;=G44-1,"UDEN FOR OMRÅDET",IF($C$6&gt;=H44+1,"UDEN FOR OMRÅDET",$C$6))</f>
        <v>500</v>
      </c>
      <c r="J44" s="14">
        <f>IF($C$5&lt;5,"UDEN FOR OMRÅDET",IF($C$5&gt;30,"UDEN FOR OMRÅDET",$C$5))</f>
        <v>20</v>
      </c>
    </row>
    <row r="45" spans="1:11" hidden="1" x14ac:dyDescent="0.2">
      <c r="A45" s="314" t="s">
        <v>15</v>
      </c>
      <c r="B45" s="42"/>
      <c r="C45" s="7">
        <v>20</v>
      </c>
      <c r="D45" s="38">
        <v>313</v>
      </c>
      <c r="E45" s="306">
        <v>0.40200000000000002</v>
      </c>
      <c r="F45" s="37">
        <v>3.5</v>
      </c>
      <c r="G45" s="36">
        <v>150</v>
      </c>
      <c r="H45" s="1">
        <v>2000</v>
      </c>
      <c r="I45" s="2">
        <f t="shared" si="4"/>
        <v>500</v>
      </c>
      <c r="J45" s="14">
        <f>IF($C$5&lt;20,"UDEN FOR OMRÅDET",IF($C$5&gt;60,"UDEN FOR OMRÅDET",$C$5))</f>
        <v>20</v>
      </c>
    </row>
    <row r="46" spans="1:11" hidden="1" x14ac:dyDescent="0.2">
      <c r="A46" s="314" t="s">
        <v>16</v>
      </c>
      <c r="B46" s="42"/>
      <c r="C46" s="7">
        <v>5</v>
      </c>
      <c r="D46" s="38">
        <v>322</v>
      </c>
      <c r="E46" s="306">
        <v>0.61199999999999999</v>
      </c>
      <c r="F46" s="37">
        <v>4</v>
      </c>
      <c r="G46" s="36">
        <v>600</v>
      </c>
      <c r="H46" s="1">
        <v>2100</v>
      </c>
      <c r="I46" s="2" t="str">
        <f t="shared" si="4"/>
        <v>UDEN FOR OMRÅDET</v>
      </c>
      <c r="J46" s="14">
        <f>IF($C$5&lt;5,"UDEN FOR OMRÅDET",IF($C$5&gt;30,"UDEN FOR OMRÅDET",$C$5))</f>
        <v>20</v>
      </c>
    </row>
    <row r="47" spans="1:11" hidden="1" x14ac:dyDescent="0.2">
      <c r="A47" s="314" t="s">
        <v>467</v>
      </c>
      <c r="B47" s="42"/>
      <c r="C47" s="7">
        <v>20</v>
      </c>
      <c r="D47" s="38">
        <v>1180</v>
      </c>
      <c r="E47" s="306">
        <v>0.28499999999999998</v>
      </c>
      <c r="F47" s="37">
        <v>8.6999999999999993</v>
      </c>
      <c r="G47" s="36">
        <v>750</v>
      </c>
      <c r="H47" s="1">
        <v>4200</v>
      </c>
      <c r="I47" s="2" t="str">
        <f t="shared" si="4"/>
        <v>UDEN FOR OMRÅDET</v>
      </c>
      <c r="J47" s="14">
        <f>IF($C$5&lt;20,"UDEN FOR OMRÅDET",IF($C$5&gt;80,"UDEN FOR OMRÅDET",$C$5))</f>
        <v>20</v>
      </c>
    </row>
    <row r="48" spans="1:11" hidden="1" x14ac:dyDescent="0.2">
      <c r="A48" s="314" t="s">
        <v>17</v>
      </c>
      <c r="B48" s="42"/>
      <c r="C48" s="7">
        <v>20</v>
      </c>
      <c r="D48" s="38">
        <v>1201</v>
      </c>
      <c r="E48" s="306">
        <v>0.27500000000000002</v>
      </c>
      <c r="F48" s="37">
        <v>10.1</v>
      </c>
      <c r="G48" s="36">
        <v>1000</v>
      </c>
      <c r="H48" s="1">
        <v>5000</v>
      </c>
      <c r="I48" s="2" t="str">
        <f t="shared" si="4"/>
        <v>UDEN FOR OMRÅDET</v>
      </c>
      <c r="J48" s="14">
        <f>IF($C$5&lt;20,"UDEN FOR OMRÅDET",IF($C$5&gt;80,"UDEN FOR OMRÅDET",$C$5))</f>
        <v>20</v>
      </c>
    </row>
    <row r="49" spans="1:10" hidden="1" x14ac:dyDescent="0.2">
      <c r="A49" s="314" t="s">
        <v>18</v>
      </c>
      <c r="B49" s="42"/>
      <c r="C49" s="45">
        <v>20</v>
      </c>
      <c r="D49" s="38">
        <v>2411</v>
      </c>
      <c r="E49" s="306">
        <v>0.29899999999999999</v>
      </c>
      <c r="F49" s="37">
        <v>15.8</v>
      </c>
      <c r="G49" s="362">
        <v>3000</v>
      </c>
      <c r="H49" s="1">
        <v>8000</v>
      </c>
      <c r="I49" s="2" t="str">
        <f t="shared" si="4"/>
        <v>UDEN FOR OMRÅDET</v>
      </c>
      <c r="J49" s="14">
        <f>IF($C$5&lt;20,"UDEN FOR OMRÅDET",IF($C$5&gt;80,"UDEN FOR OMRÅDET",$C$5))</f>
        <v>20</v>
      </c>
    </row>
    <row r="50" spans="1:10" hidden="1" x14ac:dyDescent="0.2">
      <c r="A50" s="314" t="s">
        <v>19</v>
      </c>
      <c r="B50" s="42"/>
      <c r="C50" s="45">
        <v>20</v>
      </c>
      <c r="D50" s="38">
        <v>1547</v>
      </c>
      <c r="E50" s="306">
        <v>0.23</v>
      </c>
      <c r="F50" s="37">
        <v>16.2</v>
      </c>
      <c r="G50" s="362">
        <v>5000</v>
      </c>
      <c r="H50" s="1">
        <v>11500</v>
      </c>
      <c r="I50" s="2" t="str">
        <f t="shared" si="4"/>
        <v>UDEN FOR OMRÅDET</v>
      </c>
      <c r="J50" s="14">
        <f>IF($C$5&lt;20,"UDEN FOR OMRÅDET",IF($C$5&gt;80,"UDEN FOR OMRÅDET",$C$5))</f>
        <v>20</v>
      </c>
    </row>
    <row r="51" spans="1:10" hidden="1" x14ac:dyDescent="0.2">
      <c r="A51" s="314" t="s">
        <v>591</v>
      </c>
      <c r="B51" s="42"/>
      <c r="C51" s="45">
        <v>12.5</v>
      </c>
      <c r="D51" s="38">
        <v>2029</v>
      </c>
      <c r="E51" s="306">
        <v>0.22</v>
      </c>
      <c r="F51" s="37">
        <v>18.600000000000001</v>
      </c>
      <c r="G51" s="362">
        <v>3200</v>
      </c>
      <c r="H51" s="1">
        <v>13000</v>
      </c>
      <c r="I51" s="2" t="str">
        <f t="shared" ref="I51" si="5">IF($C$6&lt;=G51-1,"UDEN FOR OMRÅDET",IF($C$6&gt;=H51+1,"UDEN FOR OMRÅDET",$C$6))</f>
        <v>UDEN FOR OMRÅDET</v>
      </c>
      <c r="J51" s="14">
        <f>IF($C$5&lt;20,"UDEN FOR OMRÅDET",IF($C$5&gt;80,"UDEN FOR OMRÅDET",$C$5))</f>
        <v>20</v>
      </c>
    </row>
    <row r="52" spans="1:10" hidden="1" x14ac:dyDescent="0.2">
      <c r="A52" s="436"/>
      <c r="B52" s="436"/>
      <c r="C52" s="437" t="s">
        <v>596</v>
      </c>
      <c r="D52" s="437" t="s">
        <v>594</v>
      </c>
      <c r="E52" s="437" t="s">
        <v>595</v>
      </c>
      <c r="F52" s="436"/>
      <c r="G52" s="436"/>
      <c r="H52" s="436"/>
      <c r="I52" s="436"/>
      <c r="J52" s="436"/>
    </row>
    <row r="53" spans="1:10" hidden="1" x14ac:dyDescent="0.2">
      <c r="A53" s="436"/>
      <c r="B53" s="436"/>
      <c r="C53" s="436"/>
      <c r="D53" s="436"/>
      <c r="E53" s="436"/>
      <c r="F53" s="436"/>
      <c r="G53" s="436"/>
      <c r="H53" s="436"/>
      <c r="I53" s="436"/>
      <c r="J53" s="436"/>
    </row>
    <row r="54" spans="1:10" ht="13.5" thickTop="1" x14ac:dyDescent="0.2">
      <c r="A54" s="436"/>
      <c r="B54" s="436"/>
      <c r="C54" s="436"/>
      <c r="D54" s="436"/>
      <c r="E54" s="436"/>
      <c r="F54" s="436"/>
      <c r="G54" s="436"/>
      <c r="H54" s="436"/>
      <c r="I54" s="436"/>
      <c r="J54" s="436"/>
    </row>
    <row r="55" spans="1:10" x14ac:dyDescent="0.2">
      <c r="A55" s="436"/>
      <c r="B55" s="436"/>
      <c r="C55" s="436"/>
      <c r="D55" s="436"/>
      <c r="E55" s="436"/>
      <c r="F55" s="436"/>
      <c r="G55" s="436"/>
      <c r="H55" s="436"/>
      <c r="I55" s="436"/>
      <c r="J55" s="436"/>
    </row>
    <row r="56" spans="1:10" x14ac:dyDescent="0.2">
      <c r="A56" s="436"/>
      <c r="B56" s="436"/>
      <c r="C56" s="436"/>
      <c r="D56" s="436"/>
      <c r="E56" s="436"/>
      <c r="F56" s="436"/>
      <c r="G56" s="436"/>
      <c r="H56" s="436"/>
      <c r="I56" s="436"/>
      <c r="J56" s="436"/>
    </row>
    <row r="57" spans="1:10" x14ac:dyDescent="0.2">
      <c r="A57" s="436"/>
      <c r="B57" s="436"/>
      <c r="C57" s="436"/>
      <c r="D57" s="436"/>
      <c r="E57" s="436"/>
      <c r="F57" s="436"/>
      <c r="G57" s="436"/>
      <c r="H57" s="436"/>
      <c r="I57" s="436"/>
      <c r="J57" s="436"/>
    </row>
  </sheetData>
  <sheetProtection sheet="1" objects="1" scenarios="1"/>
  <mergeCells count="7">
    <mergeCell ref="A1:J1"/>
    <mergeCell ref="A39:J39"/>
    <mergeCell ref="A2:J2"/>
    <mergeCell ref="A9:A10"/>
    <mergeCell ref="B9:B10"/>
    <mergeCell ref="C9:D9"/>
    <mergeCell ref="A22:D22"/>
  </mergeCells>
  <phoneticPr fontId="39" type="noConversion"/>
  <pageMargins left="1.5748031496062993" right="0.78740157480314965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62"/>
  <sheetViews>
    <sheetView showGridLines="0" zoomScaleNormal="100" workbookViewId="0">
      <selection activeCell="J58" sqref="J58"/>
    </sheetView>
  </sheetViews>
  <sheetFormatPr defaultRowHeight="12.75" x14ac:dyDescent="0.2"/>
  <cols>
    <col min="1" max="1" width="16.28515625" customWidth="1"/>
    <col min="2" max="2" width="16.7109375" customWidth="1"/>
    <col min="3" max="3" width="15.7109375" customWidth="1"/>
    <col min="4" max="4" width="16.7109375" customWidth="1"/>
    <col min="5" max="6" width="16.7109375" hidden="1" customWidth="1"/>
    <col min="7" max="7" width="20.7109375" customWidth="1"/>
    <col min="8" max="9" width="20.5703125" bestFit="1" customWidth="1"/>
    <col min="10" max="10" width="15.28515625" bestFit="1" customWidth="1"/>
    <col min="11" max="11" width="9.140625" customWidth="1"/>
    <col min="12" max="12" width="14.42578125" hidden="1" customWidth="1"/>
    <col min="13" max="13" width="16" hidden="1" customWidth="1"/>
    <col min="14" max="15" width="20.28515625" hidden="1" customWidth="1"/>
    <col min="16" max="16" width="9.140625" hidden="1" customWidth="1"/>
    <col min="17" max="17" width="18.28515625" hidden="1" customWidth="1"/>
    <col min="18" max="18" width="16.140625" hidden="1" customWidth="1"/>
    <col min="19" max="19" width="20.5703125" customWidth="1"/>
    <col min="20" max="20" width="16.140625" customWidth="1"/>
    <col min="21" max="21" width="9.140625" customWidth="1"/>
  </cols>
  <sheetData>
    <row r="1" spans="1:18" ht="21" thickTop="1" x14ac:dyDescent="0.3">
      <c r="A1" s="746" t="s">
        <v>732</v>
      </c>
      <c r="B1" s="747"/>
      <c r="C1" s="747"/>
      <c r="D1" s="747"/>
      <c r="E1" s="747"/>
      <c r="F1" s="747"/>
      <c r="G1" s="747"/>
      <c r="H1" s="747"/>
      <c r="I1" s="747"/>
      <c r="J1" s="748"/>
      <c r="K1" s="5"/>
      <c r="L1" s="746" t="s">
        <v>54</v>
      </c>
      <c r="M1" s="747"/>
      <c r="N1" s="747"/>
      <c r="O1" s="747"/>
      <c r="P1" s="747"/>
      <c r="Q1" s="747"/>
      <c r="R1" s="748"/>
    </row>
    <row r="2" spans="1:18" ht="21" thickBot="1" x14ac:dyDescent="0.35">
      <c r="A2" s="739" t="s">
        <v>733</v>
      </c>
      <c r="B2" s="740"/>
      <c r="C2" s="740"/>
      <c r="D2" s="740"/>
      <c r="E2" s="740"/>
      <c r="F2" s="740"/>
      <c r="G2" s="740"/>
      <c r="H2" s="740"/>
      <c r="I2" s="740"/>
      <c r="J2" s="741"/>
      <c r="K2" s="5"/>
      <c r="L2" s="739" t="s">
        <v>76</v>
      </c>
      <c r="M2" s="740"/>
      <c r="N2" s="740"/>
      <c r="O2" s="740"/>
      <c r="P2" s="740"/>
      <c r="Q2" s="740"/>
      <c r="R2" s="741"/>
    </row>
    <row r="3" spans="1:18" ht="13.5" thickTop="1" x14ac:dyDescent="0.2">
      <c r="A3" s="18"/>
      <c r="B3" s="19"/>
      <c r="C3" s="19"/>
      <c r="D3" s="19"/>
      <c r="E3" s="19"/>
      <c r="F3" s="19"/>
      <c r="G3" s="19"/>
      <c r="H3" s="19"/>
      <c r="I3" s="19"/>
      <c r="J3" s="20"/>
      <c r="L3" s="18"/>
      <c r="M3" s="19"/>
      <c r="N3" s="19"/>
      <c r="O3" s="19"/>
      <c r="P3" s="19"/>
      <c r="Q3" s="19"/>
      <c r="R3" s="20"/>
    </row>
    <row r="4" spans="1:18" x14ac:dyDescent="0.2">
      <c r="A4" s="22"/>
      <c r="B4" s="17" t="s">
        <v>23</v>
      </c>
      <c r="D4" s="23"/>
      <c r="J4" s="21"/>
      <c r="L4" s="22"/>
      <c r="M4" s="17" t="s">
        <v>10</v>
      </c>
      <c r="O4" s="23"/>
      <c r="R4" s="21"/>
    </row>
    <row r="5" spans="1:18" x14ac:dyDescent="0.2">
      <c r="A5" s="30" t="s">
        <v>28</v>
      </c>
      <c r="B5" s="31">
        <v>30</v>
      </c>
      <c r="C5" s="24" t="s">
        <v>517</v>
      </c>
      <c r="J5" s="21"/>
      <c r="L5" s="30" t="s">
        <v>55</v>
      </c>
      <c r="M5" s="31">
        <v>20</v>
      </c>
      <c r="N5" s="24" t="s">
        <v>56</v>
      </c>
      <c r="R5" s="21"/>
    </row>
    <row r="6" spans="1:18" x14ac:dyDescent="0.2">
      <c r="A6" s="30" t="s">
        <v>77</v>
      </c>
      <c r="B6" s="31">
        <v>1300</v>
      </c>
      <c r="C6" s="24" t="s">
        <v>518</v>
      </c>
      <c r="F6" s="23"/>
      <c r="J6" s="21"/>
      <c r="L6" s="30" t="s">
        <v>9</v>
      </c>
      <c r="M6" s="31">
        <v>25</v>
      </c>
      <c r="N6" s="24" t="s">
        <v>78</v>
      </c>
      <c r="O6" s="23" t="s">
        <v>79</v>
      </c>
      <c r="R6" s="21"/>
    </row>
    <row r="7" spans="1:18" ht="13.5" thickBot="1" x14ac:dyDescent="0.25">
      <c r="A7" s="22"/>
      <c r="F7" s="23"/>
      <c r="J7" s="21"/>
      <c r="L7" s="22"/>
      <c r="R7" s="21"/>
    </row>
    <row r="8" spans="1:18" ht="14.25" thickTop="1" thickBot="1" x14ac:dyDescent="0.25">
      <c r="A8" s="867" t="s">
        <v>508</v>
      </c>
      <c r="B8" s="868"/>
      <c r="C8" s="869" t="s">
        <v>510</v>
      </c>
      <c r="D8" s="870"/>
      <c r="E8" s="49"/>
      <c r="F8" s="61"/>
      <c r="G8" s="62" t="s">
        <v>495</v>
      </c>
      <c r="H8" s="17"/>
      <c r="J8" s="21"/>
      <c r="L8" s="22"/>
      <c r="R8" s="21"/>
    </row>
    <row r="9" spans="1:18" ht="13.5" thickTop="1" x14ac:dyDescent="0.2">
      <c r="A9" s="855" t="s">
        <v>509</v>
      </c>
      <c r="B9" s="856"/>
      <c r="C9" s="857" t="s">
        <v>511</v>
      </c>
      <c r="D9" s="858"/>
      <c r="E9" s="858"/>
      <c r="F9" s="859"/>
      <c r="G9" s="63" t="s">
        <v>512</v>
      </c>
      <c r="H9" s="17"/>
      <c r="J9" s="21"/>
      <c r="R9" s="21"/>
    </row>
    <row r="10" spans="1:18" x14ac:dyDescent="0.2">
      <c r="A10" s="50" t="s">
        <v>22</v>
      </c>
      <c r="B10" s="367" t="s">
        <v>24</v>
      </c>
      <c r="C10" s="64" t="s">
        <v>22</v>
      </c>
      <c r="D10" s="51" t="s">
        <v>51</v>
      </c>
      <c r="E10" s="51"/>
      <c r="F10" s="65" t="s">
        <v>61</v>
      </c>
      <c r="G10" s="66" t="s">
        <v>27</v>
      </c>
      <c r="H10" s="17"/>
      <c r="J10" s="21"/>
      <c r="R10" s="21"/>
    </row>
    <row r="11" spans="1:18" x14ac:dyDescent="0.2">
      <c r="A11" s="50" t="s">
        <v>12</v>
      </c>
      <c r="B11" s="401" t="str">
        <f>IF(I48="UDEN FOR OMRÅDET","NOT POSSIBLE",IF(J48="UDEN FOR OMRÅDET","NOT POSSIBLE",(-0.2+(($B$5-C48)*E48)+($B$6/D48))))</f>
        <v>NOT POSSIBLE</v>
      </c>
      <c r="C11" s="67" t="s">
        <v>481</v>
      </c>
      <c r="D11" s="388" t="str">
        <f>IF(S48="UDEN FOR OMRÅDET","NOT POSSIBLE",IF(T48="UDEN FOR OMRÅDET","NOT POSSIBLE",(0.000000000005542*B6^4-0.000000011024963*B6^3+0.000008062366517*B6^2+0.001574675994768*B6+0.437597137192088)))</f>
        <v>NOT POSSIBLE</v>
      </c>
      <c r="E11" s="33"/>
      <c r="F11" s="68" t="e">
        <f>ROUND(IF(D11&lt;0.5,10,((((0.1322*D11^2+0.2648*D11+9.8241))))),1)</f>
        <v>#VALUE!</v>
      </c>
      <c r="G11" s="403" t="str">
        <f t="shared" ref="G11:G19" si="0">IF(B11="NOT POSSIBLE","NOT POSSIBLE",IF(D11="NOT POSSIBLE","NOT POSSIBLE",($B$5+F21+F11)))</f>
        <v>NOT POSSIBLE</v>
      </c>
      <c r="H11" s="43"/>
      <c r="J11" s="21"/>
      <c r="R11" s="21"/>
    </row>
    <row r="12" spans="1:18" x14ac:dyDescent="0.2">
      <c r="A12" s="50" t="s">
        <v>13</v>
      </c>
      <c r="B12" s="401" t="str">
        <f>IF(I49="UDEN FOR OMRÅDET","NOT POSSIBLE",IF(J49="UDEN FOR OMRÅDET","NOT POSSIBLE",(-0.3+(($B$5-C49)*E49)+($B$6/D49))))</f>
        <v>NOT POSSIBLE</v>
      </c>
      <c r="C12" s="67" t="s">
        <v>482</v>
      </c>
      <c r="D12" s="388" t="str">
        <f>IF(S49="UDEN FOR OMRÅDET","NOT POSSIBLE",IF(T49="UDEN FOR OMRÅDET","NOT POSSIBLE",(ROUND(0.000000000004935*B6^4-0.000000011338095*B6^3+0.000009011774864*B6^2+0.000523712911518*B6+0.458015907559471,1))))</f>
        <v>NOT POSSIBLE</v>
      </c>
      <c r="E12" s="33"/>
      <c r="F12" s="68" t="e">
        <f>ROUND(IF(D12&lt;1,14,((((0.2956*D12^2-0.4757*D12+14.17))))),1)</f>
        <v>#VALUE!</v>
      </c>
      <c r="G12" s="403" t="str">
        <f t="shared" si="0"/>
        <v>NOT POSSIBLE</v>
      </c>
      <c r="H12" s="43"/>
      <c r="J12" s="21"/>
      <c r="R12" s="21"/>
    </row>
    <row r="13" spans="1:18" x14ac:dyDescent="0.2">
      <c r="A13" s="50" t="s">
        <v>20</v>
      </c>
      <c r="B13" s="401" t="str">
        <f>IF(I50="UDEN FOR OMRÅDET","NOT POSSIBLE",IF(J50="UDEN FOR OMRÅDET","NOT POSSIBLE",(-0.2+(($B$5-C50)*E50)+($B$6/D50))))</f>
        <v>NOT POSSIBLE</v>
      </c>
      <c r="C13" s="67" t="s">
        <v>483</v>
      </c>
      <c r="D13" s="388">
        <f>IF(S50="UDEN FOR OMRÅDET","NOT POSSIBLE",IF(T50="UDEN FOR OMRÅDET","NOT POSSIBLE",IF(B6&lt;1465,(1.43958726E-12*B6^4-4.05602367413E-09*B6^3+0.0000042670132068909*B6^2-0.000061224426617176*B6+0.509465618579983),(2.758949268903E-08*B6^4-0.000165382498714462*B6^3+0.371749749406838*B6^2-371.370189738866*B6+139116.043827614))))</f>
        <v>2.8416473448456645</v>
      </c>
      <c r="E13" s="33"/>
      <c r="F13" s="68">
        <f>ROUND(IF(D13&lt;2,9,((((0.5565*D13^2-0.7865*D13+9.2446))))),1)</f>
        <v>11.5</v>
      </c>
      <c r="G13" s="403" t="str">
        <f t="shared" si="0"/>
        <v>NOT POSSIBLE</v>
      </c>
      <c r="H13" s="43"/>
      <c r="J13" s="21"/>
      <c r="R13" s="21"/>
    </row>
    <row r="14" spans="1:18" x14ac:dyDescent="0.2">
      <c r="A14" s="50" t="s">
        <v>21</v>
      </c>
      <c r="B14" s="401">
        <f>IF(I51="UDEN FOR OMRÅDET","NOT POSSIBLE",IF(J51="UDEN FOR OMRÅDET","NOT POSSIBLE",(-0.3+(($B$5-C51)*E51)+($B$6/D51))))</f>
        <v>7.8733546325878603</v>
      </c>
      <c r="C14" s="67" t="s">
        <v>484</v>
      </c>
      <c r="D14" s="388">
        <f>IF(S51="UDEN FOR OMRÅDET","NOT POSSIBLE",IF(T51="UDEN FOR OMRÅDET","NOT POSSIBLE",(ROUND(2.8068E-16*B6^5-1.30894961E-12*B6^4+2.26233522011E-09*B6^3-1.24113081172312E-06*B6^2+0.00135922155812669*B6+0.36672369992407,1))))</f>
        <v>2.2999999999999998</v>
      </c>
      <c r="E14" s="33"/>
      <c r="F14" s="68">
        <f>ROUND(IF(D14&lt;2,16,((((1.3*D14^2-3.3*D14+17.4))))),1)</f>
        <v>16.7</v>
      </c>
      <c r="G14" s="403">
        <f t="shared" si="0"/>
        <v>60.495918367346945</v>
      </c>
      <c r="H14" s="43"/>
      <c r="J14" s="21"/>
      <c r="R14" s="21"/>
    </row>
    <row r="15" spans="1:18" x14ac:dyDescent="0.2">
      <c r="A15" s="50" t="s">
        <v>16</v>
      </c>
      <c r="B15" s="401">
        <f>IF(I52="UDEN FOR OMRÅDET","NOT POSSIBLE",IF(J52="UDEN FOR OMRÅDET","NOT POSSIBLE",(-1.9+(($B$5-C52)*E52)+($B$6/D52))))</f>
        <v>17.443545878693623</v>
      </c>
      <c r="C15" s="67" t="s">
        <v>492</v>
      </c>
      <c r="D15" s="388">
        <f>IF(S52="UDEN FOR OMRÅDET","NOT POSSIBLE",IF(T52="UDEN FOR OMRÅDET","NOT POSSIBLE",(ROUND(1.6084E-16*B6^5-7.8792682E-13*B6^4+1.22444138078E-09*B6^3-5.1797692941027E-07*B6^2+0.00125732825340572*B6+0.327414644949624,1)
)))</f>
        <v>2.1</v>
      </c>
      <c r="E15" s="33"/>
      <c r="F15" s="68">
        <f>ROUND(IF(D15&lt;1,14,((((-0.2957*D15^4+2.7972*D15^3-6.6079*D15^2+5.804*D15+12.383))))),1)</f>
        <v>15.6</v>
      </c>
      <c r="G15" s="403">
        <f t="shared" si="0"/>
        <v>56.162500000000001</v>
      </c>
      <c r="H15" s="43"/>
      <c r="J15" s="21"/>
      <c r="R15" s="21"/>
    </row>
    <row r="16" spans="1:18" x14ac:dyDescent="0.2">
      <c r="A16" s="50" t="s">
        <v>467</v>
      </c>
      <c r="B16" s="401">
        <f>IF(I53="UDEN FOR OMRÅDET","NOT POSSIBLE",IF(J53="UDEN FOR OMRÅDET","NOT POSSIBLE",(-0.65+(($B$5-C53)*E53)+($B$6/D53))))</f>
        <v>3.3016949152542372</v>
      </c>
      <c r="C16" s="67" t="s">
        <v>492</v>
      </c>
      <c r="D16" s="388">
        <f>IF(S53="UDEN FOR OMRÅDET","NOT POSSIBLE",IF(T53="UDEN FOR OMRÅDET","NOT POSSIBLE",(ROUND(1.6084E-16*B6^5-7.8792682E-13*B6^4+1.22444138078E-09*B6^3-5.1797692941027E-07*B6^2+0.00125732825340572*B6+0.327414644949624,1)
)))</f>
        <v>2.1</v>
      </c>
      <c r="E16" s="33"/>
      <c r="F16" s="68">
        <f>ROUND(IF(D16&lt;1,14,((((-0.2957*D16^4+2.7972*D16^3-6.6079*D16^2+5.804*D16+12.383))))),1)</f>
        <v>15.6</v>
      </c>
      <c r="G16" s="403">
        <f t="shared" si="0"/>
        <v>47.83279165015194</v>
      </c>
      <c r="J16" s="21"/>
      <c r="R16" s="21"/>
    </row>
    <row r="17" spans="1:18" x14ac:dyDescent="0.2">
      <c r="A17" s="50" t="s">
        <v>17</v>
      </c>
      <c r="B17" s="401">
        <f>IF(I54="UDEN FOR OMRÅDET","NOT POSSIBLE",IF(J54="UDEN FOR OMRÅDET","NOT POSSIBLE",(-0.87+(($B$5-C54)*E54)+($B$6/D54))))</f>
        <v>2.9624313072439632</v>
      </c>
      <c r="C17" s="67" t="s">
        <v>40</v>
      </c>
      <c r="D17" s="388">
        <f>IF(S54="UDEN FOR OMRÅDET","NOT POSSIBLE",IF(T54="UDEN FOR OMRÅDET","NOT POSSIBLE",(-0.0000000000000007646*B6^4+8.66167203E-12*B6^3-1.368304333946E-08*B6^2+0.000674608449084757*B6+0.365102207453672)))</f>
        <v>1.2358147674100786</v>
      </c>
      <c r="E17" s="33"/>
      <c r="F17" s="68">
        <f>ROUND(IF(D17&lt;1,15,((((0.2852498017*D17^2+0.4377874703*D17+14.6948850119))))),1)</f>
        <v>15.7</v>
      </c>
      <c r="G17" s="403">
        <f t="shared" si="0"/>
        <v>47.356700323497691</v>
      </c>
      <c r="H17" s="43"/>
      <c r="J17" s="21"/>
      <c r="R17" s="21"/>
    </row>
    <row r="18" spans="1:18" x14ac:dyDescent="0.2">
      <c r="A18" s="50" t="s">
        <v>18</v>
      </c>
      <c r="B18" s="401" t="str">
        <f>IF(I55="UDEN FOR OMRÅDET","NOT POSSIBLE",IF(J55="UDEN FOR OMRÅDET","NOT POSSIBLE",(-1.27+(($B$5-C55)*E55)+($B$6/D55))))</f>
        <v>NOT POSSIBLE</v>
      </c>
      <c r="C18" s="67" t="s">
        <v>41</v>
      </c>
      <c r="D18" s="388">
        <f>IF(S55="UDEN FOR OMRÅDET","NOT POSSIBLE",IF(T55="UDEN FOR OMRÅDET","NOT POSSIBLE",(5.9873E-16*B6^4-0.0000000000095790398*B6^3+3.922038370896E-08*B6^2+0.0005179824896256*B6+0.107933010658806)))</f>
        <v>0.82825757795262833</v>
      </c>
      <c r="E18" s="33"/>
      <c r="F18" s="68">
        <f>ROUND(IF(D18&lt;2,10,((((0.95*D18^2-2.25*D18+10.8))))),1)</f>
        <v>10</v>
      </c>
      <c r="G18" s="403" t="str">
        <f t="shared" si="0"/>
        <v>NOT POSSIBLE</v>
      </c>
      <c r="H18" s="43"/>
      <c r="J18" s="21"/>
      <c r="R18" s="21"/>
    </row>
    <row r="19" spans="1:18" ht="13.5" thickBot="1" x14ac:dyDescent="0.25">
      <c r="A19" s="52" t="s">
        <v>19</v>
      </c>
      <c r="B19" s="402" t="str">
        <f>IF(I56="UDEN FOR OMRÅDET","NOT POSSIBLE",IF(J56="UDEN FOR OMRÅDET","NOT POSSIBLE",(-3.27+(($B$5-C56)*E56)+($B$6/D56))))</f>
        <v>NOT POSSIBLE</v>
      </c>
      <c r="C19" s="69" t="s">
        <v>42</v>
      </c>
      <c r="D19" s="390">
        <f>IF(S56="UDEN FOR OMRÅDET","NOT POSSIBLE",IF(T56="UDEN FOR OMRÅDET","NOT POSSIBLE",(ROUND(-0.00000000000000007*B6^4+0.00000000000118072*B6^3-0.00000001872155789*B6^2+0.00052869856838356*B6+0.0496570952659024,1))))</f>
        <v>0.7</v>
      </c>
      <c r="E19" s="35"/>
      <c r="F19" s="70">
        <f>ROUND(IF(D19&lt;2,10,((((-0.1914*D19^4+1.831*D19^3-4*D19^2+3.1548*D19+9.2057))))),1)</f>
        <v>10</v>
      </c>
      <c r="G19" s="403" t="str">
        <f t="shared" si="0"/>
        <v>NOT POSSIBLE</v>
      </c>
      <c r="H19" s="43"/>
      <c r="J19" s="21"/>
      <c r="R19" s="21"/>
    </row>
    <row r="20" spans="1:18" ht="13.5" thickTop="1" x14ac:dyDescent="0.2">
      <c r="A20" s="22"/>
      <c r="C20" s="25"/>
      <c r="F20" s="33" t="s">
        <v>496</v>
      </c>
      <c r="J20" s="21"/>
      <c r="L20" s="22"/>
      <c r="N20" s="25"/>
      <c r="R20" s="21"/>
    </row>
    <row r="21" spans="1:18" x14ac:dyDescent="0.2">
      <c r="A21" s="860"/>
      <c r="B21" s="835"/>
      <c r="C21" s="23"/>
      <c r="D21" s="23"/>
      <c r="F21" s="33" t="str">
        <f>IF(B11="NOT POSSIBLE","NOT POSSIBLE",($B$6/(1000*F48))^2*100)</f>
        <v>NOT POSSIBLE</v>
      </c>
      <c r="J21" s="21"/>
      <c r="L21" s="22"/>
      <c r="N21" s="23"/>
      <c r="O21" s="23"/>
      <c r="R21" s="21"/>
    </row>
    <row r="22" spans="1:18" x14ac:dyDescent="0.2">
      <c r="A22" s="30"/>
      <c r="F22" s="33" t="str">
        <f t="shared" ref="F22:F29" si="1">IF(B12="NOT POSSIBLE","NOT POSSIBLE",($B$6/(1000*F49))^2*100)</f>
        <v>NOT POSSIBLE</v>
      </c>
      <c r="J22" s="21"/>
      <c r="L22" s="22"/>
      <c r="N22" s="17"/>
      <c r="R22" s="21"/>
    </row>
    <row r="23" spans="1:18" x14ac:dyDescent="0.2">
      <c r="A23" s="53"/>
      <c r="F23" s="33" t="str">
        <f t="shared" si="1"/>
        <v>NOT POSSIBLE</v>
      </c>
      <c r="J23" s="21"/>
      <c r="L23" s="22"/>
      <c r="N23" s="43"/>
      <c r="R23" s="21"/>
    </row>
    <row r="24" spans="1:18" x14ac:dyDescent="0.2">
      <c r="A24" s="53"/>
      <c r="F24" s="33">
        <f t="shared" si="1"/>
        <v>13.795918367346941</v>
      </c>
      <c r="J24" s="21"/>
      <c r="L24" s="22"/>
      <c r="N24" s="43"/>
      <c r="R24" s="21"/>
    </row>
    <row r="25" spans="1:18" x14ac:dyDescent="0.2">
      <c r="A25" s="53"/>
      <c r="F25" s="33">
        <f t="shared" si="1"/>
        <v>10.562500000000002</v>
      </c>
      <c r="J25" s="21"/>
      <c r="L25" s="22"/>
      <c r="N25" s="43"/>
      <c r="R25" s="21"/>
    </row>
    <row r="26" spans="1:18" x14ac:dyDescent="0.2">
      <c r="A26" s="53"/>
      <c r="F26" s="33">
        <f t="shared" si="1"/>
        <v>2.232791650151936</v>
      </c>
      <c r="J26" s="21"/>
      <c r="L26" s="22"/>
      <c r="N26" s="43"/>
      <c r="R26" s="21"/>
    </row>
    <row r="27" spans="1:18" x14ac:dyDescent="0.2">
      <c r="A27" s="53"/>
      <c r="F27" s="33">
        <f t="shared" si="1"/>
        <v>1.6567003234976965</v>
      </c>
      <c r="J27" s="21"/>
      <c r="L27" s="22"/>
      <c r="N27" s="43"/>
      <c r="R27" s="21"/>
    </row>
    <row r="28" spans="1:18" x14ac:dyDescent="0.2">
      <c r="A28" s="53"/>
      <c r="F28" s="33" t="str">
        <f t="shared" si="1"/>
        <v>NOT POSSIBLE</v>
      </c>
      <c r="J28" s="21"/>
      <c r="L28" s="22"/>
      <c r="N28" s="43"/>
      <c r="R28" s="21"/>
    </row>
    <row r="29" spans="1:18" x14ac:dyDescent="0.2">
      <c r="A29" s="53"/>
      <c r="F29" s="33" t="str">
        <f t="shared" si="1"/>
        <v>NOT POSSIBLE</v>
      </c>
      <c r="J29" s="21"/>
      <c r="L29" s="22"/>
      <c r="N29" s="43"/>
      <c r="R29" s="21"/>
    </row>
    <row r="30" spans="1:18" x14ac:dyDescent="0.2">
      <c r="A30" s="53"/>
      <c r="F30" s="33"/>
      <c r="J30" s="21"/>
      <c r="L30" s="22"/>
      <c r="N30" s="43"/>
      <c r="R30" s="21"/>
    </row>
    <row r="31" spans="1:18" ht="13.5" thickBot="1" x14ac:dyDescent="0.25">
      <c r="A31" s="27" t="s">
        <v>53</v>
      </c>
      <c r="F31" s="33"/>
      <c r="J31" s="21"/>
      <c r="L31" s="22"/>
      <c r="N31" s="43"/>
      <c r="R31" s="21"/>
    </row>
    <row r="32" spans="1:18" ht="13.5" thickTop="1" x14ac:dyDescent="0.2">
      <c r="A32" s="368"/>
      <c r="B32" s="861" t="s">
        <v>514</v>
      </c>
      <c r="C32" s="862"/>
      <c r="D32" s="863" t="s">
        <v>515</v>
      </c>
      <c r="E32" s="863"/>
      <c r="F32" s="863"/>
      <c r="G32" s="863"/>
      <c r="H32" s="864" t="s">
        <v>516</v>
      </c>
      <c r="I32" s="865"/>
      <c r="J32" s="866"/>
      <c r="L32" s="22"/>
      <c r="N32" s="43"/>
      <c r="R32" s="21"/>
    </row>
    <row r="33" spans="1:20" ht="12.75" customHeight="1" x14ac:dyDescent="0.2">
      <c r="A33" s="369" t="s">
        <v>513</v>
      </c>
      <c r="B33" s="71" t="s">
        <v>80</v>
      </c>
      <c r="C33" s="72" t="s">
        <v>81</v>
      </c>
      <c r="D33" s="73" t="s">
        <v>80</v>
      </c>
      <c r="E33" s="51"/>
      <c r="F33" s="54"/>
      <c r="G33" s="74" t="s">
        <v>81</v>
      </c>
      <c r="H33" s="75" t="s">
        <v>82</v>
      </c>
      <c r="I33" s="55" t="s">
        <v>80</v>
      </c>
      <c r="J33" s="34" t="s">
        <v>81</v>
      </c>
      <c r="L33" s="22"/>
      <c r="N33" s="43"/>
      <c r="R33" s="21"/>
    </row>
    <row r="34" spans="1:20" x14ac:dyDescent="0.2">
      <c r="A34" s="56" t="s">
        <v>86</v>
      </c>
      <c r="B34" s="71" t="s">
        <v>29</v>
      </c>
      <c r="C34" s="76" t="s">
        <v>497</v>
      </c>
      <c r="D34" s="73" t="s">
        <v>477</v>
      </c>
      <c r="E34" s="49"/>
      <c r="F34" s="49"/>
      <c r="G34" s="77" t="s">
        <v>466</v>
      </c>
      <c r="H34" s="78" t="s">
        <v>83</v>
      </c>
      <c r="I34" s="55" t="s">
        <v>29</v>
      </c>
      <c r="J34" s="34" t="s">
        <v>466</v>
      </c>
      <c r="L34" s="22"/>
      <c r="N34" s="43"/>
      <c r="R34" s="21"/>
    </row>
    <row r="35" spans="1:20" x14ac:dyDescent="0.2">
      <c r="A35" s="56" t="s">
        <v>92</v>
      </c>
      <c r="B35" s="71" t="s">
        <v>30</v>
      </c>
      <c r="C35" s="76" t="s">
        <v>498</v>
      </c>
      <c r="D35" s="73" t="s">
        <v>471</v>
      </c>
      <c r="E35" s="49"/>
      <c r="F35" s="49"/>
      <c r="G35" s="77" t="s">
        <v>64</v>
      </c>
      <c r="H35" s="78" t="s">
        <v>93</v>
      </c>
      <c r="I35" s="55" t="s">
        <v>30</v>
      </c>
      <c r="J35" s="34" t="s">
        <v>499</v>
      </c>
      <c r="L35" s="22"/>
      <c r="N35" s="43"/>
      <c r="R35" s="21"/>
    </row>
    <row r="36" spans="1:20" x14ac:dyDescent="0.2">
      <c r="A36" s="56" t="s">
        <v>87</v>
      </c>
      <c r="B36" s="71" t="s">
        <v>30</v>
      </c>
      <c r="C36" s="76" t="s">
        <v>497</v>
      </c>
      <c r="D36" s="73" t="s">
        <v>478</v>
      </c>
      <c r="E36" s="49"/>
      <c r="F36" s="49"/>
      <c r="G36" s="77" t="s">
        <v>480</v>
      </c>
      <c r="H36" s="78" t="s">
        <v>83</v>
      </c>
      <c r="I36" s="55" t="s">
        <v>30</v>
      </c>
      <c r="J36" s="34" t="s">
        <v>480</v>
      </c>
      <c r="L36" s="22"/>
      <c r="N36" s="43"/>
      <c r="R36" s="21"/>
    </row>
    <row r="37" spans="1:20" x14ac:dyDescent="0.2">
      <c r="A37" s="56" t="s">
        <v>500</v>
      </c>
      <c r="B37" s="71" t="s">
        <v>31</v>
      </c>
      <c r="C37" s="76" t="s">
        <v>498</v>
      </c>
      <c r="D37" s="73" t="s">
        <v>472</v>
      </c>
      <c r="E37" s="49"/>
      <c r="F37" s="49"/>
      <c r="G37" s="77" t="s">
        <v>62</v>
      </c>
      <c r="H37" s="78" t="s">
        <v>93</v>
      </c>
      <c r="I37" s="55" t="s">
        <v>501</v>
      </c>
      <c r="J37" s="34" t="s">
        <v>499</v>
      </c>
      <c r="L37" s="22"/>
      <c r="N37" s="43"/>
      <c r="R37" s="21"/>
    </row>
    <row r="38" spans="1:20" x14ac:dyDescent="0.2">
      <c r="A38" s="56" t="s">
        <v>88</v>
      </c>
      <c r="B38" s="71" t="s">
        <v>494</v>
      </c>
      <c r="C38" s="76" t="s">
        <v>497</v>
      </c>
      <c r="D38" s="73" t="s">
        <v>493</v>
      </c>
      <c r="E38" s="49"/>
      <c r="F38" s="49"/>
      <c r="G38" s="77" t="s">
        <v>64</v>
      </c>
      <c r="H38" s="78" t="s">
        <v>83</v>
      </c>
      <c r="I38" s="55" t="s">
        <v>494</v>
      </c>
      <c r="J38" s="34" t="s">
        <v>64</v>
      </c>
      <c r="L38" s="22"/>
      <c r="N38" s="43"/>
      <c r="R38" s="21"/>
    </row>
    <row r="39" spans="1:20" x14ac:dyDescent="0.2">
      <c r="A39" s="56" t="s">
        <v>502</v>
      </c>
      <c r="B39" s="71" t="s">
        <v>468</v>
      </c>
      <c r="C39" s="76" t="s">
        <v>498</v>
      </c>
      <c r="D39" s="73" t="s">
        <v>493</v>
      </c>
      <c r="E39" s="49"/>
      <c r="F39" s="49"/>
      <c r="G39" s="77" t="s">
        <v>64</v>
      </c>
      <c r="H39" s="78" t="s">
        <v>84</v>
      </c>
      <c r="I39" s="55" t="s">
        <v>503</v>
      </c>
      <c r="J39" s="34" t="s">
        <v>499</v>
      </c>
      <c r="L39" s="22"/>
      <c r="N39" s="43"/>
      <c r="R39" s="21"/>
    </row>
    <row r="40" spans="1:20" x14ac:dyDescent="0.2">
      <c r="A40" s="56" t="s">
        <v>89</v>
      </c>
      <c r="B40" s="71" t="s">
        <v>32</v>
      </c>
      <c r="C40" s="76" t="s">
        <v>498</v>
      </c>
      <c r="D40" s="73" t="s">
        <v>479</v>
      </c>
      <c r="E40" s="49"/>
      <c r="F40" s="49"/>
      <c r="G40" s="77" t="s">
        <v>66</v>
      </c>
      <c r="H40" s="78" t="s">
        <v>84</v>
      </c>
      <c r="I40" s="55" t="s">
        <v>32</v>
      </c>
      <c r="J40" s="34" t="s">
        <v>499</v>
      </c>
      <c r="L40" s="22"/>
      <c r="N40" s="43"/>
      <c r="R40" s="21"/>
    </row>
    <row r="41" spans="1:20" x14ac:dyDescent="0.2">
      <c r="A41" s="56" t="s">
        <v>90</v>
      </c>
      <c r="B41" s="71" t="s">
        <v>33</v>
      </c>
      <c r="C41" s="76" t="s">
        <v>498</v>
      </c>
      <c r="D41" s="73" t="s">
        <v>473</v>
      </c>
      <c r="E41" s="49"/>
      <c r="F41" s="49"/>
      <c r="G41" s="77" t="s">
        <v>466</v>
      </c>
      <c r="H41" s="78" t="s">
        <v>84</v>
      </c>
      <c r="I41" s="55" t="s">
        <v>504</v>
      </c>
      <c r="J41" s="34" t="s">
        <v>499</v>
      </c>
      <c r="L41" s="22"/>
      <c r="O41" s="26"/>
      <c r="R41" s="21"/>
    </row>
    <row r="42" spans="1:20" ht="13.5" thickBot="1" x14ac:dyDescent="0.25">
      <c r="A42" s="57" t="s">
        <v>91</v>
      </c>
      <c r="B42" s="79" t="s">
        <v>485</v>
      </c>
      <c r="C42" s="80" t="s">
        <v>498</v>
      </c>
      <c r="D42" s="81" t="s">
        <v>474</v>
      </c>
      <c r="E42" s="49"/>
      <c r="F42" s="49"/>
      <c r="G42" s="82" t="s">
        <v>466</v>
      </c>
      <c r="H42" s="83" t="s">
        <v>84</v>
      </c>
      <c r="I42" s="58" t="s">
        <v>85</v>
      </c>
      <c r="J42" s="59" t="s">
        <v>499</v>
      </c>
      <c r="L42" s="27" t="s">
        <v>26</v>
      </c>
      <c r="M42" s="28"/>
      <c r="N42" s="28"/>
      <c r="O42" s="28"/>
      <c r="P42" s="28"/>
      <c r="Q42" s="28"/>
      <c r="R42" s="29"/>
    </row>
    <row r="43" spans="1:20" ht="10.5" customHeight="1" thickTop="1" x14ac:dyDescent="0.2"/>
    <row r="45" spans="1:20" s="4" customFormat="1" ht="31.5" hidden="1" customHeight="1" x14ac:dyDescent="0.4">
      <c r="A45" s="849" t="s">
        <v>11</v>
      </c>
      <c r="B45" s="850"/>
      <c r="C45" s="850"/>
      <c r="D45" s="850"/>
      <c r="E45" s="850"/>
      <c r="F45" s="850"/>
      <c r="G45" s="850"/>
      <c r="H45" s="850"/>
      <c r="I45" s="850"/>
      <c r="J45" s="850"/>
      <c r="K45" s="6"/>
      <c r="L45" s="849" t="s">
        <v>11</v>
      </c>
      <c r="M45" s="850"/>
      <c r="N45" s="850"/>
      <c r="O45" s="850"/>
      <c r="P45" s="850"/>
      <c r="Q45" s="850"/>
      <c r="R45" s="850"/>
    </row>
    <row r="46" spans="1:20" ht="13.5" hidden="1" thickBot="1" x14ac:dyDescent="0.25"/>
    <row r="47" spans="1:20" ht="13.5" hidden="1" thickTop="1" x14ac:dyDescent="0.2">
      <c r="A47" s="9" t="s">
        <v>0</v>
      </c>
      <c r="B47" s="41"/>
      <c r="C47" s="10" t="s">
        <v>505</v>
      </c>
      <c r="D47" s="10" t="s">
        <v>506</v>
      </c>
      <c r="E47" s="10" t="s">
        <v>507</v>
      </c>
      <c r="F47" s="10" t="s">
        <v>8</v>
      </c>
      <c r="G47" s="10" t="s">
        <v>4</v>
      </c>
      <c r="H47" s="10" t="s">
        <v>5</v>
      </c>
      <c r="I47" s="11" t="s">
        <v>6</v>
      </c>
      <c r="J47" s="12" t="s">
        <v>7</v>
      </c>
      <c r="L47" s="9" t="s">
        <v>0</v>
      </c>
      <c r="M47" s="10" t="s">
        <v>1</v>
      </c>
      <c r="N47" s="10" t="s">
        <v>2</v>
      </c>
      <c r="O47" s="10" t="s">
        <v>3</v>
      </c>
      <c r="P47" s="10" t="s">
        <v>8</v>
      </c>
      <c r="Q47" s="10" t="s">
        <v>4</v>
      </c>
      <c r="R47" s="10" t="s">
        <v>5</v>
      </c>
      <c r="S47" s="11" t="s">
        <v>6</v>
      </c>
      <c r="T47" s="12" t="s">
        <v>7</v>
      </c>
    </row>
    <row r="48" spans="1:20" hidden="1" x14ac:dyDescent="0.2">
      <c r="A48" s="13" t="s">
        <v>12</v>
      </c>
      <c r="B48" s="42"/>
      <c r="C48" s="45">
        <v>5</v>
      </c>
      <c r="D48" s="38">
        <v>272</v>
      </c>
      <c r="E48" s="306">
        <v>0.68</v>
      </c>
      <c r="F48" s="37">
        <v>2.9</v>
      </c>
      <c r="G48" s="362">
        <v>50</v>
      </c>
      <c r="H48" s="1">
        <v>600</v>
      </c>
      <c r="I48" s="2" t="str">
        <f>IF($B$6&lt;=G48-1,"UDEN FOR OMRÅDET",IF($B$6&gt;=H48+1,"UDEN FOR OMRÅDET",$B$6))</f>
        <v>UDEN FOR OMRÅDET</v>
      </c>
      <c r="J48" s="14">
        <f>IF($B$5&lt;5,"UDEN FOR OMRÅDET",IF($B$5&gt;30,"UDEN FOR OMRÅDET",$B$5))</f>
        <v>30</v>
      </c>
      <c r="L48" s="360" t="s">
        <v>70</v>
      </c>
      <c r="M48" s="354"/>
      <c r="N48" s="354"/>
      <c r="O48" s="355"/>
      <c r="P48" s="356">
        <v>2.6</v>
      </c>
      <c r="Q48" s="36">
        <v>40</v>
      </c>
      <c r="R48" s="370">
        <v>900</v>
      </c>
      <c r="S48" s="359" t="str">
        <f t="shared" ref="S48:S56" si="2">IF($B$6&lt;=Q48-1,"UDEN FOR OMRÅDET",IF($B$6&gt;=R48+1,"UDEN FOR OMRÅDET",$B$6))</f>
        <v>UDEN FOR OMRÅDET</v>
      </c>
      <c r="T48" s="14">
        <f>IF($B$5&lt;5,"UDEN FOR OMRÅDET",IF($B$5&gt;30,"UDEN FOR OMRÅDET",$B$5))</f>
        <v>30</v>
      </c>
    </row>
    <row r="49" spans="1:20" hidden="1" x14ac:dyDescent="0.2">
      <c r="A49" s="13" t="s">
        <v>13</v>
      </c>
      <c r="B49" s="42"/>
      <c r="C49" s="45">
        <v>20</v>
      </c>
      <c r="D49" s="38">
        <v>312.5</v>
      </c>
      <c r="E49" s="306">
        <v>0.40150000000000002</v>
      </c>
      <c r="F49" s="37">
        <v>2.9</v>
      </c>
      <c r="G49" s="362">
        <v>100</v>
      </c>
      <c r="H49" s="1">
        <v>1000</v>
      </c>
      <c r="I49" s="2" t="str">
        <f>IF($B$6&lt;=G49-1,"UDEN FOR OMRÅDET",IF($B$6&gt;=H49+1,"UDEN FOR OMRÅDET",$B$6))</f>
        <v>UDEN FOR OMRÅDET</v>
      </c>
      <c r="J49" s="14">
        <f>IF($B$5&lt;20,"UDEN FOR OMRÅDET",IF($B$5&gt;60,"UDEN FOR OMRÅDET",$B$5))</f>
        <v>30</v>
      </c>
      <c r="L49" s="360" t="s">
        <v>71</v>
      </c>
      <c r="M49" s="354"/>
      <c r="N49" s="354"/>
      <c r="O49" s="355"/>
      <c r="P49" s="356">
        <v>2.6</v>
      </c>
      <c r="Q49" s="36">
        <v>60</v>
      </c>
      <c r="R49" s="370">
        <v>1080</v>
      </c>
      <c r="S49" s="359" t="str">
        <f t="shared" si="2"/>
        <v>UDEN FOR OMRÅDET</v>
      </c>
      <c r="T49" s="14">
        <f>IF($B$5&lt;20,"UDEN FOR OMRÅDET",IF($B$5&gt;60,"UDEN FOR OMRÅDET",$B$5))</f>
        <v>30</v>
      </c>
    </row>
    <row r="50" spans="1:20" hidden="1" x14ac:dyDescent="0.2">
      <c r="A50" s="13" t="s">
        <v>14</v>
      </c>
      <c r="B50" s="42"/>
      <c r="C50" s="45">
        <v>5</v>
      </c>
      <c r="D50" s="38">
        <v>272</v>
      </c>
      <c r="E50" s="306">
        <v>0.68</v>
      </c>
      <c r="F50" s="37">
        <v>3.5</v>
      </c>
      <c r="G50" s="362">
        <v>100</v>
      </c>
      <c r="H50" s="1">
        <v>1000</v>
      </c>
      <c r="I50" s="2" t="str">
        <f t="shared" ref="I50:I56" si="3">IF($B$6&lt;=G50-1,"UDEN FOR OMRÅDET",IF($B$6&gt;=H50+1,"UDEN FOR OMRÅDET",$B$6))</f>
        <v>UDEN FOR OMRÅDET</v>
      </c>
      <c r="J50" s="14">
        <f>IF($B$5&lt;5,"UDEN FOR OMRÅDET",IF($B$5&gt;30,"UDEN FOR OMRÅDET",$B$5))</f>
        <v>30</v>
      </c>
      <c r="L50" s="360" t="s">
        <v>72</v>
      </c>
      <c r="M50" s="354"/>
      <c r="N50" s="354"/>
      <c r="O50" s="355"/>
      <c r="P50" s="356">
        <v>4</v>
      </c>
      <c r="Q50" s="36">
        <v>86</v>
      </c>
      <c r="R50" s="370">
        <v>1550</v>
      </c>
      <c r="S50" s="359">
        <f t="shared" si="2"/>
        <v>1300</v>
      </c>
      <c r="T50" s="14">
        <f t="shared" ref="T50:T52" si="4">IF($B$5&lt;5,"UDEN FOR OMRÅDET",IF($B$5&gt;30,"UDEN FOR OMRÅDET",$B$5))</f>
        <v>30</v>
      </c>
    </row>
    <row r="51" spans="1:20" hidden="1" x14ac:dyDescent="0.2">
      <c r="A51" s="13" t="s">
        <v>15</v>
      </c>
      <c r="B51" s="42"/>
      <c r="C51" s="45">
        <v>20</v>
      </c>
      <c r="D51" s="38">
        <v>313</v>
      </c>
      <c r="E51" s="306">
        <v>0.40200000000000002</v>
      </c>
      <c r="F51" s="37">
        <v>3.5</v>
      </c>
      <c r="G51" s="362">
        <v>150</v>
      </c>
      <c r="H51" s="1">
        <v>2000</v>
      </c>
      <c r="I51" s="2">
        <f t="shared" si="3"/>
        <v>1300</v>
      </c>
      <c r="J51" s="14">
        <f>IF($B$5&lt;20,"UDEN FOR OMRÅDET",IF($B$5&gt;60,"UDEN FOR OMRÅDET",$B$5))</f>
        <v>30</v>
      </c>
      <c r="L51" s="360" t="s">
        <v>73</v>
      </c>
      <c r="M51" s="354"/>
      <c r="N51" s="354"/>
      <c r="O51" s="355"/>
      <c r="P51" s="356">
        <v>4</v>
      </c>
      <c r="Q51" s="36">
        <v>102</v>
      </c>
      <c r="R51" s="370">
        <v>1930</v>
      </c>
      <c r="S51" s="359">
        <f t="shared" si="2"/>
        <v>1300</v>
      </c>
      <c r="T51" s="14">
        <f>IF($B$5&lt;20,"UDEN FOR OMRÅDET",IF($B$5&gt;60,"UDEN FOR OMRÅDET",$B$5))</f>
        <v>30</v>
      </c>
    </row>
    <row r="52" spans="1:20" hidden="1" x14ac:dyDescent="0.2">
      <c r="A52" s="13" t="s">
        <v>16</v>
      </c>
      <c r="B52" s="42"/>
      <c r="C52" s="45">
        <v>5</v>
      </c>
      <c r="D52" s="38">
        <v>321.5</v>
      </c>
      <c r="E52" s="306">
        <v>0.61199999999999999</v>
      </c>
      <c r="F52" s="37">
        <v>4</v>
      </c>
      <c r="G52" s="362">
        <v>600</v>
      </c>
      <c r="H52" s="1">
        <v>2100</v>
      </c>
      <c r="I52" s="2">
        <f t="shared" si="3"/>
        <v>1300</v>
      </c>
      <c r="J52" s="14">
        <f>IF($B$5&lt;5,"UDEN FOR OMRÅDET",IF($B$5&gt;30,"UDEN FOR OMRÅDET",$B$5))</f>
        <v>30</v>
      </c>
      <c r="L52" s="360" t="s">
        <v>75</v>
      </c>
      <c r="M52" s="354"/>
      <c r="N52" s="354"/>
      <c r="O52" s="355"/>
      <c r="P52" s="356">
        <v>4.2</v>
      </c>
      <c r="Q52" s="36">
        <v>137</v>
      </c>
      <c r="R52" s="370">
        <v>2400</v>
      </c>
      <c r="S52" s="359">
        <f t="shared" si="2"/>
        <v>1300</v>
      </c>
      <c r="T52" s="14">
        <f t="shared" si="4"/>
        <v>30</v>
      </c>
    </row>
    <row r="53" spans="1:20" hidden="1" x14ac:dyDescent="0.2">
      <c r="A53" s="13" t="s">
        <v>467</v>
      </c>
      <c r="B53" s="42"/>
      <c r="C53" s="45">
        <v>20</v>
      </c>
      <c r="D53" s="38">
        <v>1180</v>
      </c>
      <c r="E53" s="306">
        <v>0.28499999999999998</v>
      </c>
      <c r="F53" s="37">
        <v>8.6999999999999993</v>
      </c>
      <c r="G53" s="362">
        <v>750</v>
      </c>
      <c r="H53" s="1">
        <v>4200</v>
      </c>
      <c r="I53" s="2">
        <f t="shared" si="3"/>
        <v>1300</v>
      </c>
      <c r="J53" s="14">
        <f>IF($B$5&lt;20,"UDEN FOR OMRÅDET",IF($B$5&gt;80,"UDEN FOR OMRÅDET",$B$5))</f>
        <v>30</v>
      </c>
      <c r="L53" s="360" t="s">
        <v>75</v>
      </c>
      <c r="M53" s="354"/>
      <c r="N53" s="354"/>
      <c r="O53" s="355"/>
      <c r="P53" s="356">
        <v>4.2</v>
      </c>
      <c r="Q53" s="36">
        <v>137</v>
      </c>
      <c r="R53" s="370">
        <v>2400</v>
      </c>
      <c r="S53" s="359">
        <f t="shared" si="2"/>
        <v>1300</v>
      </c>
      <c r="T53" s="14">
        <f>IF($B$5&lt;20,"UDEN FOR OMRÅDET",IF($B$5&gt;80,"UDEN FOR OMRÅDET",$B$5))</f>
        <v>30</v>
      </c>
    </row>
    <row r="54" spans="1:20" hidden="1" x14ac:dyDescent="0.2">
      <c r="A54" s="13" t="s">
        <v>17</v>
      </c>
      <c r="B54" s="42"/>
      <c r="C54" s="45">
        <v>20</v>
      </c>
      <c r="D54" s="38">
        <v>1201</v>
      </c>
      <c r="E54" s="306">
        <v>0.27500000000000002</v>
      </c>
      <c r="F54" s="37">
        <v>10.1</v>
      </c>
      <c r="G54" s="362">
        <v>1000</v>
      </c>
      <c r="H54" s="1">
        <v>5000</v>
      </c>
      <c r="I54" s="2">
        <f t="shared" si="3"/>
        <v>1300</v>
      </c>
      <c r="J54" s="14">
        <f>IF($B$5&lt;20,"UDEN FOR OMRÅDET",IF($B$5&gt;80,"UDEN FOR OMRÅDET",$B$5))</f>
        <v>30</v>
      </c>
      <c r="L54" s="360" t="s">
        <v>63</v>
      </c>
      <c r="M54" s="354"/>
      <c r="N54" s="354"/>
      <c r="O54" s="355"/>
      <c r="P54" s="356">
        <v>10.9</v>
      </c>
      <c r="Q54" s="36">
        <v>200</v>
      </c>
      <c r="R54" s="370">
        <v>5000</v>
      </c>
      <c r="S54" s="359">
        <f t="shared" si="2"/>
        <v>1300</v>
      </c>
      <c r="T54" s="14">
        <f>IF($B$5&lt;20,"UDEN FOR OMRÅDET",IF($B$5&gt;80,"UDEN FOR OMRÅDET",$B$5))</f>
        <v>30</v>
      </c>
    </row>
    <row r="55" spans="1:20" hidden="1" x14ac:dyDescent="0.2">
      <c r="A55" s="314" t="s">
        <v>18</v>
      </c>
      <c r="B55" s="42"/>
      <c r="C55" s="45">
        <v>20</v>
      </c>
      <c r="D55" s="38">
        <v>2410.6999999999998</v>
      </c>
      <c r="E55" s="306">
        <v>0.29880000000000001</v>
      </c>
      <c r="F55" s="37">
        <v>15.8</v>
      </c>
      <c r="G55" s="362">
        <v>3000</v>
      </c>
      <c r="H55" s="1">
        <v>8000</v>
      </c>
      <c r="I55" s="2" t="str">
        <f t="shared" si="3"/>
        <v>UDEN FOR OMRÅDET</v>
      </c>
      <c r="J55" s="14">
        <f>IF($B$5&lt;20,"UDEN FOR OMRÅDET",IF($B$5&gt;80,"UDEN FOR OMRÅDET",$B$5))</f>
        <v>30</v>
      </c>
      <c r="L55" s="360" t="s">
        <v>65</v>
      </c>
      <c r="M55" s="354"/>
      <c r="N55" s="354"/>
      <c r="O55" s="355"/>
      <c r="P55" s="371">
        <v>18</v>
      </c>
      <c r="Q55" s="359">
        <v>719</v>
      </c>
      <c r="R55" s="359">
        <v>7400</v>
      </c>
      <c r="S55" s="359">
        <f t="shared" si="2"/>
        <v>1300</v>
      </c>
      <c r="T55" s="14">
        <f>IF($B$5&lt;20,"UDEN FOR OMRÅDET",IF($B$5&gt;80,"UDEN FOR OMRÅDET",$B$5))</f>
        <v>30</v>
      </c>
    </row>
    <row r="56" spans="1:20" ht="13.5" hidden="1" thickBot="1" x14ac:dyDescent="0.25">
      <c r="A56" s="314" t="s">
        <v>19</v>
      </c>
      <c r="B56" s="42"/>
      <c r="C56" s="45">
        <v>20</v>
      </c>
      <c r="D56" s="38">
        <v>1547</v>
      </c>
      <c r="E56" s="306">
        <v>0.23</v>
      </c>
      <c r="F56" s="37">
        <v>16.2</v>
      </c>
      <c r="G56" s="362">
        <v>5000</v>
      </c>
      <c r="H56" s="1">
        <v>11500</v>
      </c>
      <c r="I56" s="2" t="str">
        <f t="shared" si="3"/>
        <v>UDEN FOR OMRÅDET</v>
      </c>
      <c r="J56" s="14">
        <f>IF($B$5&lt;20,"UDEN FOR OMRÅDET",IF($B$5&gt;80,"UDEN FOR OMRÅDET",$B$5))</f>
        <v>30</v>
      </c>
      <c r="L56" s="372" t="s">
        <v>67</v>
      </c>
      <c r="M56" s="373"/>
      <c r="N56" s="373"/>
      <c r="O56" s="374"/>
      <c r="P56" s="375">
        <v>20.3</v>
      </c>
      <c r="Q56" s="376">
        <v>900</v>
      </c>
      <c r="R56" s="376">
        <v>10350</v>
      </c>
      <c r="S56" s="376">
        <f t="shared" si="2"/>
        <v>1300</v>
      </c>
      <c r="T56" s="14">
        <f>IF($B$5&lt;20,"UDEN FOR OMRÅDET",IF($B$5&gt;80,"UDEN FOR OMRÅDET",$B$5))</f>
        <v>30</v>
      </c>
    </row>
    <row r="57" spans="1:20" ht="13.5" hidden="1" thickTop="1" x14ac:dyDescent="0.2">
      <c r="A57" s="8"/>
    </row>
    <row r="62" spans="1:20" x14ac:dyDescent="0.2">
      <c r="I62" s="60"/>
    </row>
  </sheetData>
  <sheetProtection sheet="1" objects="1" scenarios="1"/>
  <mergeCells count="14">
    <mergeCell ref="A1:J1"/>
    <mergeCell ref="L1:R1"/>
    <mergeCell ref="A2:J2"/>
    <mergeCell ref="L2:R2"/>
    <mergeCell ref="A8:B8"/>
    <mergeCell ref="C8:D8"/>
    <mergeCell ref="A45:J45"/>
    <mergeCell ref="L45:R45"/>
    <mergeCell ref="A9:B9"/>
    <mergeCell ref="C9:F9"/>
    <mergeCell ref="A21:B21"/>
    <mergeCell ref="B32:C32"/>
    <mergeCell ref="D32:G32"/>
    <mergeCell ref="H32:J32"/>
  </mergeCells>
  <pageMargins left="0.47244094488188981" right="0.31496062992125984" top="0.39370078740157483" bottom="0.19685039370078741" header="0.51181102362204722" footer="0.51181102362204722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41C4-BD97-4126-8625-451334FE99FB}">
  <dimension ref="A1:R79"/>
  <sheetViews>
    <sheetView workbookViewId="0">
      <selection activeCell="M10" sqref="M1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18" width="12.7109375" customWidth="1"/>
  </cols>
  <sheetData>
    <row r="1" spans="1:9" ht="21" thickTop="1" x14ac:dyDescent="0.3">
      <c r="A1" s="873" t="s">
        <v>665</v>
      </c>
      <c r="B1" s="874"/>
      <c r="C1" s="874"/>
      <c r="D1" s="874"/>
      <c r="E1" s="874"/>
      <c r="F1" s="874"/>
      <c r="G1" s="874"/>
      <c r="H1" s="874"/>
      <c r="I1" s="875"/>
    </row>
    <row r="2" spans="1:9" ht="21" thickBot="1" x14ac:dyDescent="0.35">
      <c r="A2" s="896" t="s">
        <v>729</v>
      </c>
      <c r="B2" s="897"/>
      <c r="C2" s="897"/>
      <c r="D2" s="897"/>
      <c r="E2" s="897"/>
      <c r="F2" s="897"/>
      <c r="G2" s="897"/>
      <c r="H2" s="897"/>
      <c r="I2" s="898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666</v>
      </c>
      <c r="B5" s="447"/>
      <c r="C5" s="31">
        <v>5000</v>
      </c>
      <c r="D5" s="451" t="s">
        <v>58</v>
      </c>
      <c r="E5" s="447"/>
      <c r="F5" s="447"/>
      <c r="G5" s="447"/>
      <c r="H5" s="447"/>
      <c r="I5" s="449"/>
    </row>
    <row r="6" spans="1:9" x14ac:dyDescent="0.2">
      <c r="A6" s="450" t="s">
        <v>667</v>
      </c>
      <c r="B6" s="447"/>
      <c r="C6" s="31">
        <v>10</v>
      </c>
      <c r="D6" s="189" t="s">
        <v>669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668</v>
      </c>
      <c r="C8" s="453">
        <f>0.01*C5/SQRT(C6)</f>
        <v>15.811388300841896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18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18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18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18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18" ht="38.25" customHeight="1" x14ac:dyDescent="0.2">
      <c r="A21" s="454" t="s">
        <v>300</v>
      </c>
      <c r="B21" s="899" t="s">
        <v>670</v>
      </c>
      <c r="C21" s="899"/>
      <c r="D21" s="900" t="s">
        <v>51</v>
      </c>
      <c r="E21" s="900"/>
      <c r="F21" s="901" t="s">
        <v>671</v>
      </c>
      <c r="G21" s="902"/>
      <c r="H21" s="903" t="s">
        <v>672</v>
      </c>
      <c r="I21" s="904"/>
    </row>
    <row r="22" spans="1:18" x14ac:dyDescent="0.2">
      <c r="A22" s="455">
        <v>15</v>
      </c>
      <c r="B22" s="879">
        <v>6.8</v>
      </c>
      <c r="C22" s="879"/>
      <c r="D22" s="880" t="str">
        <f>IF($C$8&gt;B22,"NOT POSSIBLE",(VLOOKUP($C$8,A$32:C72,3)))</f>
        <v>NOT POSSIBLE</v>
      </c>
      <c r="E22" s="881"/>
      <c r="F22" s="882" t="str">
        <f>IF($C$8&gt;$B22,"NOT POSSIBLE",(VLOOKUP($C$8,A$32:C72,2)))</f>
        <v>NOT POSSIBLE</v>
      </c>
      <c r="G22" s="882"/>
      <c r="H22" s="883" t="str">
        <f t="shared" ref="H22:H27" si="0">IF($C$8&gt;B22,"NOT POSSIBLE",((($C$5/1000)/F22)^2)*100)</f>
        <v>NOT POSSIBLE</v>
      </c>
      <c r="I22" s="884"/>
    </row>
    <row r="23" spans="1:18" x14ac:dyDescent="0.2">
      <c r="A23" s="456">
        <v>20</v>
      </c>
      <c r="B23" s="895">
        <v>9.9</v>
      </c>
      <c r="C23" s="895"/>
      <c r="D23" s="880" t="str">
        <f>IF($C$8&gt;B23,"NOT POSSIBLE",(VLOOKUP($C$8,D$32:F72,3)))</f>
        <v>NOT POSSIBLE</v>
      </c>
      <c r="E23" s="881"/>
      <c r="F23" s="882" t="str">
        <f>IF($C$8&gt;$B23,"NOT POSSIBLE",(VLOOKUP($C$8,D$32:F72,2)))</f>
        <v>NOT POSSIBLE</v>
      </c>
      <c r="G23" s="882"/>
      <c r="H23" s="883" t="str">
        <f t="shared" si="0"/>
        <v>NOT POSSIBLE</v>
      </c>
      <c r="I23" s="884"/>
    </row>
    <row r="24" spans="1:18" x14ac:dyDescent="0.2">
      <c r="A24" s="455">
        <v>25</v>
      </c>
      <c r="B24" s="879">
        <v>31.8</v>
      </c>
      <c r="C24" s="879"/>
      <c r="D24" s="880">
        <f>IF($C$8&gt;B24,"NOT POSSIBLE",(VLOOKUP($C$8,G$32:I72,3)))</f>
        <v>1.9</v>
      </c>
      <c r="E24" s="881"/>
      <c r="F24" s="882">
        <f>IF($C$8&gt;$B24,"NOT POSSIBLE",(VLOOKUP($C$8,G$32:I72,2)))</f>
        <v>7.3780000000000001</v>
      </c>
      <c r="G24" s="882"/>
      <c r="H24" s="883">
        <f t="shared" si="0"/>
        <v>45.926432028402964</v>
      </c>
      <c r="I24" s="884"/>
    </row>
    <row r="25" spans="1:18" x14ac:dyDescent="0.2">
      <c r="A25" s="456">
        <v>32</v>
      </c>
      <c r="B25" s="895">
        <v>23</v>
      </c>
      <c r="C25" s="895"/>
      <c r="D25" s="880">
        <f>IF($C$8&gt;B25,"NOT POSSIBLE",(VLOOKUP($C$8,J$32:L72,3)))</f>
        <v>2.4</v>
      </c>
      <c r="E25" s="881"/>
      <c r="F25" s="882">
        <f>IF($C$8&gt;$B25,"NOT POSSIBLE",(VLOOKUP($C$8,J$32:L72,2)))</f>
        <v>14.784000000000001</v>
      </c>
      <c r="G25" s="882"/>
      <c r="H25" s="883">
        <f t="shared" si="0"/>
        <v>11.438158252281628</v>
      </c>
      <c r="I25" s="884"/>
    </row>
    <row r="26" spans="1:18" x14ac:dyDescent="0.2">
      <c r="A26" s="455">
        <v>40</v>
      </c>
      <c r="B26" s="879">
        <v>40</v>
      </c>
      <c r="C26" s="879"/>
      <c r="D26" s="880">
        <f>IF($C$8&gt;B26,"NOT POSSIBLE",(VLOOKUP($C$8,M$32:O72,3)))</f>
        <v>1.6</v>
      </c>
      <c r="E26" s="881"/>
      <c r="F26" s="882">
        <f>IF($C$8&gt;$B26,"NOT POSSIBLE",(VLOOKUP($C$8,M$32:O72,2)))</f>
        <v>13.736000000000001</v>
      </c>
      <c r="G26" s="882"/>
      <c r="H26" s="883">
        <f t="shared" si="0"/>
        <v>13.250108799293372</v>
      </c>
      <c r="I26" s="884"/>
    </row>
    <row r="27" spans="1:18" ht="13.5" thickBot="1" x14ac:dyDescent="0.25">
      <c r="A27" s="457">
        <v>50</v>
      </c>
      <c r="B27" s="885">
        <v>49.7</v>
      </c>
      <c r="C27" s="885"/>
      <c r="D27" s="886">
        <f>IF($C$8&gt;B27,"NOT POSSIBLE",(VLOOKUP($C$8,P$32:R77,3)))</f>
        <v>1.3</v>
      </c>
      <c r="E27" s="887"/>
      <c r="F27" s="888">
        <f>IF($C$8&gt;$B27,"NOT POSSIBLE",(VLOOKUP($C$8,P$32:R77,2)))</f>
        <v>15.49</v>
      </c>
      <c r="G27" s="888"/>
      <c r="H27" s="889">
        <f t="shared" si="0"/>
        <v>10.419267142090881</v>
      </c>
      <c r="I27" s="890"/>
    </row>
    <row r="28" spans="1:18" ht="13.5" thickTop="1" x14ac:dyDescent="0.2">
      <c r="A28" s="254"/>
      <c r="B28" s="254"/>
      <c r="D28" s="40"/>
      <c r="E28" s="40"/>
      <c r="F28" s="40"/>
    </row>
    <row r="29" spans="1:18" ht="13.5" hidden="1" thickBot="1" x14ac:dyDescent="0.25"/>
    <row r="30" spans="1:18" hidden="1" x14ac:dyDescent="0.2">
      <c r="A30" s="891" t="s">
        <v>648</v>
      </c>
      <c r="B30" s="892"/>
      <c r="C30" s="893"/>
      <c r="D30" s="876" t="s">
        <v>38</v>
      </c>
      <c r="E30" s="877"/>
      <c r="F30" s="878"/>
      <c r="G30" s="894" t="s">
        <v>39</v>
      </c>
      <c r="H30" s="892"/>
      <c r="I30" s="893"/>
      <c r="J30" s="876" t="s">
        <v>40</v>
      </c>
      <c r="K30" s="877"/>
      <c r="L30" s="878"/>
      <c r="M30" s="894" t="s">
        <v>41</v>
      </c>
      <c r="N30" s="892"/>
      <c r="O30" s="893"/>
      <c r="P30" s="876" t="s">
        <v>42</v>
      </c>
      <c r="Q30" s="877"/>
      <c r="R30" s="878"/>
    </row>
    <row r="31" spans="1:18" hidden="1" x14ac:dyDescent="0.2">
      <c r="A31" s="122" t="s">
        <v>649</v>
      </c>
      <c r="B31" s="458" t="s">
        <v>650</v>
      </c>
      <c r="C31" s="459" t="s">
        <v>651</v>
      </c>
      <c r="D31" s="460" t="s">
        <v>649</v>
      </c>
      <c r="E31" s="461" t="s">
        <v>650</v>
      </c>
      <c r="F31" s="462" t="s">
        <v>651</v>
      </c>
      <c r="G31" s="463" t="s">
        <v>649</v>
      </c>
      <c r="H31" s="458" t="s">
        <v>650</v>
      </c>
      <c r="I31" s="459" t="s">
        <v>651</v>
      </c>
      <c r="J31" s="464" t="s">
        <v>649</v>
      </c>
      <c r="K31" s="461" t="s">
        <v>650</v>
      </c>
      <c r="L31" s="462" t="s">
        <v>651</v>
      </c>
      <c r="M31" s="463" t="s">
        <v>649</v>
      </c>
      <c r="N31" s="458" t="s">
        <v>650</v>
      </c>
      <c r="O31" s="459" t="s">
        <v>651</v>
      </c>
      <c r="P31" s="464" t="s">
        <v>649</v>
      </c>
      <c r="Q31" s="461" t="s">
        <v>650</v>
      </c>
      <c r="R31" s="462" t="s">
        <v>651</v>
      </c>
    </row>
    <row r="32" spans="1:18" ht="14.25" hidden="1" x14ac:dyDescent="0.2">
      <c r="A32" s="465">
        <v>0</v>
      </c>
      <c r="B32" s="466">
        <v>0</v>
      </c>
      <c r="C32" s="459">
        <v>0</v>
      </c>
      <c r="D32" s="467">
        <v>0</v>
      </c>
      <c r="E32" s="468">
        <v>0</v>
      </c>
      <c r="F32" s="462">
        <v>0</v>
      </c>
      <c r="G32" s="469">
        <v>0</v>
      </c>
      <c r="H32" s="470">
        <v>0</v>
      </c>
      <c r="I32" s="459">
        <v>0</v>
      </c>
      <c r="J32" s="467">
        <v>0</v>
      </c>
      <c r="K32" s="468">
        <v>0</v>
      </c>
      <c r="L32" s="462">
        <v>0</v>
      </c>
      <c r="M32" s="469">
        <v>0</v>
      </c>
      <c r="N32" s="470">
        <v>0</v>
      </c>
      <c r="O32" s="459">
        <v>0</v>
      </c>
      <c r="P32" s="467">
        <v>0</v>
      </c>
      <c r="Q32" s="468">
        <v>0</v>
      </c>
      <c r="R32" s="462">
        <v>0</v>
      </c>
    </row>
    <row r="33" spans="1:18" ht="14.25" hidden="1" x14ac:dyDescent="0.2">
      <c r="A33" s="465">
        <v>0.2</v>
      </c>
      <c r="B33" s="466">
        <v>0.19</v>
      </c>
      <c r="C33" s="459">
        <v>0.1</v>
      </c>
      <c r="D33" s="467">
        <f t="shared" ref="D33:E33" si="1">(D37-D32)/5*1+D32</f>
        <v>0.32799999999999996</v>
      </c>
      <c r="E33" s="468">
        <f t="shared" si="1"/>
        <v>0.316</v>
      </c>
      <c r="F33" s="462">
        <v>0.1</v>
      </c>
      <c r="G33" s="469">
        <f t="shared" ref="G33:H33" si="2">(G37-G32)/5*1+G32</f>
        <v>0.54800000000000004</v>
      </c>
      <c r="H33" s="470">
        <f t="shared" si="2"/>
        <v>0.5</v>
      </c>
      <c r="I33" s="459">
        <v>0.1</v>
      </c>
      <c r="J33" s="467">
        <f t="shared" ref="J33:K33" si="3">(J37-J32)/5*1+J32</f>
        <v>0.72599999999999998</v>
      </c>
      <c r="K33" s="468">
        <f t="shared" si="3"/>
        <v>0.72</v>
      </c>
      <c r="L33" s="462">
        <v>0.1</v>
      </c>
      <c r="M33" s="469">
        <f t="shared" ref="M33:N33" si="4">(M37-M32)/5*1+M32</f>
        <v>0.57599999999999996</v>
      </c>
      <c r="N33" s="470">
        <f t="shared" si="4"/>
        <v>0.56799999999999995</v>
      </c>
      <c r="O33" s="459">
        <v>0.1</v>
      </c>
      <c r="P33" s="467">
        <f t="shared" ref="P33:Q33" si="5">(P37-P32)/5*1+P32</f>
        <v>1.0880000000000001</v>
      </c>
      <c r="Q33" s="468">
        <f t="shared" si="5"/>
        <v>1.1119999999999999</v>
      </c>
      <c r="R33" s="462">
        <v>0.1</v>
      </c>
    </row>
    <row r="34" spans="1:18" ht="14.25" hidden="1" x14ac:dyDescent="0.2">
      <c r="A34" s="465">
        <v>0.4</v>
      </c>
      <c r="B34" s="466">
        <v>0.38</v>
      </c>
      <c r="C34" s="459">
        <v>0.2</v>
      </c>
      <c r="D34" s="467">
        <f t="shared" ref="D34:E34" si="6">(D37-D32)/5*2+D32</f>
        <v>0.65599999999999992</v>
      </c>
      <c r="E34" s="468">
        <f t="shared" si="6"/>
        <v>0.63200000000000001</v>
      </c>
      <c r="F34" s="462">
        <v>0.2</v>
      </c>
      <c r="G34" s="469">
        <f t="shared" ref="G34:H34" si="7">(G37-G32)/5*2+G32</f>
        <v>1.0960000000000001</v>
      </c>
      <c r="H34" s="470">
        <f t="shared" si="7"/>
        <v>1</v>
      </c>
      <c r="I34" s="459">
        <v>0.2</v>
      </c>
      <c r="J34" s="467">
        <f t="shared" ref="J34:K34" si="8">(J37-J32)/5*2+J32</f>
        <v>1.452</v>
      </c>
      <c r="K34" s="468">
        <f t="shared" si="8"/>
        <v>1.44</v>
      </c>
      <c r="L34" s="462">
        <v>0.2</v>
      </c>
      <c r="M34" s="469">
        <f t="shared" ref="M34:N34" si="9">(M37-M32)/5*2+M32</f>
        <v>1.1519999999999999</v>
      </c>
      <c r="N34" s="470">
        <f t="shared" si="9"/>
        <v>1.1359999999999999</v>
      </c>
      <c r="O34" s="459">
        <v>0.2</v>
      </c>
      <c r="P34" s="467">
        <f t="shared" ref="P34:Q34" si="10">(P37-P32)/5*2+P32</f>
        <v>2.1760000000000002</v>
      </c>
      <c r="Q34" s="468">
        <f t="shared" si="10"/>
        <v>2.2239999999999998</v>
      </c>
      <c r="R34" s="462">
        <v>0.2</v>
      </c>
    </row>
    <row r="35" spans="1:18" ht="14.25" hidden="1" x14ac:dyDescent="0.2">
      <c r="A35" s="465">
        <v>0.60000000000000009</v>
      </c>
      <c r="B35" s="466">
        <v>0.57000000000000006</v>
      </c>
      <c r="C35" s="459">
        <v>0.3</v>
      </c>
      <c r="D35" s="467">
        <f t="shared" ref="D35:E35" si="11">(D37-D32)/5*3+D32</f>
        <v>0.98399999999999987</v>
      </c>
      <c r="E35" s="468">
        <f t="shared" si="11"/>
        <v>0.94799999999999995</v>
      </c>
      <c r="F35" s="462">
        <v>0.3</v>
      </c>
      <c r="G35" s="469">
        <f t="shared" ref="G35:H35" si="12">(G37-G32)/5*3+G32</f>
        <v>1.6440000000000001</v>
      </c>
      <c r="H35" s="470">
        <f t="shared" si="12"/>
        <v>1.5</v>
      </c>
      <c r="I35" s="459">
        <v>0.3</v>
      </c>
      <c r="J35" s="467">
        <f t="shared" ref="J35:K35" si="13">(J37-J32)/5*3+J32</f>
        <v>2.1779999999999999</v>
      </c>
      <c r="K35" s="468">
        <f t="shared" si="13"/>
        <v>2.16</v>
      </c>
      <c r="L35" s="462">
        <v>0.3</v>
      </c>
      <c r="M35" s="469">
        <f t="shared" ref="M35:N35" si="14">(M37-M32)/5*3+M32</f>
        <v>1.7279999999999998</v>
      </c>
      <c r="N35" s="470">
        <f t="shared" si="14"/>
        <v>1.7039999999999997</v>
      </c>
      <c r="O35" s="459">
        <v>0.3</v>
      </c>
      <c r="P35" s="467">
        <f t="shared" ref="P35:Q35" si="15">(P37-P32)/5*3+P32</f>
        <v>3.2640000000000002</v>
      </c>
      <c r="Q35" s="468">
        <f t="shared" si="15"/>
        <v>3.3359999999999994</v>
      </c>
      <c r="R35" s="462">
        <v>0.3</v>
      </c>
    </row>
    <row r="36" spans="1:18" ht="14.25" hidden="1" x14ac:dyDescent="0.2">
      <c r="A36" s="465">
        <v>0.8</v>
      </c>
      <c r="B36" s="466">
        <v>0.76</v>
      </c>
      <c r="C36" s="459">
        <v>0.4</v>
      </c>
      <c r="D36" s="467">
        <f t="shared" ref="D36:E36" si="16">(D37-D32)/5*4+D32</f>
        <v>1.3119999999999998</v>
      </c>
      <c r="E36" s="468">
        <f t="shared" si="16"/>
        <v>1.264</v>
      </c>
      <c r="F36" s="462">
        <v>0.4</v>
      </c>
      <c r="G36" s="469">
        <f t="shared" ref="G36:H36" si="17">(G37-G32)/5*4+G32</f>
        <v>2.1920000000000002</v>
      </c>
      <c r="H36" s="470">
        <f t="shared" si="17"/>
        <v>2</v>
      </c>
      <c r="I36" s="459">
        <v>0.4</v>
      </c>
      <c r="J36" s="467">
        <f t="shared" ref="J36:K36" si="18">(J37-J32)/5*4+J32</f>
        <v>2.9039999999999999</v>
      </c>
      <c r="K36" s="468">
        <f t="shared" si="18"/>
        <v>2.88</v>
      </c>
      <c r="L36" s="462">
        <v>0.4</v>
      </c>
      <c r="M36" s="469">
        <f t="shared" ref="M36:N36" si="19">(M37-M32)/5*4+M32</f>
        <v>2.3039999999999998</v>
      </c>
      <c r="N36" s="470">
        <f t="shared" si="19"/>
        <v>2.2719999999999998</v>
      </c>
      <c r="O36" s="459">
        <v>0.4</v>
      </c>
      <c r="P36" s="467">
        <f t="shared" ref="P36:Q36" si="20">(P37-P32)/5*4+P32</f>
        <v>4.3520000000000003</v>
      </c>
      <c r="Q36" s="468">
        <f t="shared" si="20"/>
        <v>4.4479999999999995</v>
      </c>
      <c r="R36" s="462">
        <v>0.4</v>
      </c>
    </row>
    <row r="37" spans="1:18" ht="14.25" hidden="1" x14ac:dyDescent="0.2">
      <c r="A37" s="465">
        <v>1</v>
      </c>
      <c r="B37" s="466">
        <v>0.95</v>
      </c>
      <c r="C37" s="459">
        <v>0.5</v>
      </c>
      <c r="D37" s="467">
        <v>1.64</v>
      </c>
      <c r="E37" s="468">
        <v>1.58</v>
      </c>
      <c r="F37" s="462">
        <v>0.5</v>
      </c>
      <c r="G37" s="469">
        <v>2.74</v>
      </c>
      <c r="H37" s="470">
        <v>2.5</v>
      </c>
      <c r="I37" s="459">
        <v>0.5</v>
      </c>
      <c r="J37" s="467">
        <v>3.63</v>
      </c>
      <c r="K37" s="468">
        <v>3.6</v>
      </c>
      <c r="L37" s="462">
        <v>0.5</v>
      </c>
      <c r="M37" s="469">
        <v>2.88</v>
      </c>
      <c r="N37" s="470">
        <v>2.84</v>
      </c>
      <c r="O37" s="459">
        <v>0.5</v>
      </c>
      <c r="P37" s="471">
        <v>5.44</v>
      </c>
      <c r="Q37" s="468">
        <v>5.56</v>
      </c>
      <c r="R37" s="462">
        <v>0.5</v>
      </c>
    </row>
    <row r="38" spans="1:18" ht="14.25" hidden="1" x14ac:dyDescent="0.2">
      <c r="A38" s="465">
        <v>1.1240000000000001</v>
      </c>
      <c r="B38" s="466">
        <v>1.0580000000000001</v>
      </c>
      <c r="C38" s="459">
        <v>0.6</v>
      </c>
      <c r="D38" s="467">
        <f t="shared" ref="D38:E38" si="21">(D42-D37)/5*1+D37</f>
        <v>1.8839999999999999</v>
      </c>
      <c r="E38" s="468">
        <f t="shared" si="21"/>
        <v>1.786</v>
      </c>
      <c r="F38" s="462">
        <v>0.6</v>
      </c>
      <c r="G38" s="469">
        <f t="shared" ref="G38:H38" si="22">(G42-G37)/5*1+G37</f>
        <v>3.4026000000000001</v>
      </c>
      <c r="H38" s="470">
        <f t="shared" si="22"/>
        <v>2.9140000000000001</v>
      </c>
      <c r="I38" s="459">
        <v>0.6</v>
      </c>
      <c r="J38" s="467">
        <f t="shared" ref="J38:K38" si="23">(J42-J37)/5*1+J37</f>
        <v>4.3579999999999997</v>
      </c>
      <c r="K38" s="468">
        <f t="shared" si="23"/>
        <v>4.3120000000000003</v>
      </c>
      <c r="L38" s="462">
        <v>0.6</v>
      </c>
      <c r="M38" s="469">
        <f t="shared" ref="M38:N38" si="24">(M42-M37)/5*1+M37</f>
        <v>3.972</v>
      </c>
      <c r="N38" s="470">
        <f t="shared" si="24"/>
        <v>3.9359999999999999</v>
      </c>
      <c r="O38" s="459">
        <v>0.6</v>
      </c>
      <c r="P38" s="471">
        <f t="shared" ref="P38:Q38" si="25">(P42-P37)/5*1+P37</f>
        <v>6.75</v>
      </c>
      <c r="Q38" s="468">
        <f t="shared" si="25"/>
        <v>6.9159999999999995</v>
      </c>
      <c r="R38" s="462">
        <v>0.6</v>
      </c>
    </row>
    <row r="39" spans="1:18" ht="14.25" hidden="1" x14ac:dyDescent="0.2">
      <c r="A39" s="465">
        <v>1.248</v>
      </c>
      <c r="B39" s="466">
        <v>1.1659999999999999</v>
      </c>
      <c r="C39" s="459">
        <v>0.7</v>
      </c>
      <c r="D39" s="467">
        <f t="shared" ref="D39:E39" si="26">(D42-D37)/5*2+D37</f>
        <v>2.1280000000000001</v>
      </c>
      <c r="E39" s="468">
        <f t="shared" si="26"/>
        <v>1.992</v>
      </c>
      <c r="F39" s="462">
        <v>0.7</v>
      </c>
      <c r="G39" s="469">
        <f t="shared" ref="G39:H39" si="27">(G42-G37)/5*2+G37</f>
        <v>4.0651999999999999</v>
      </c>
      <c r="H39" s="470">
        <f t="shared" si="27"/>
        <v>3.3280000000000003</v>
      </c>
      <c r="I39" s="459">
        <v>0.7</v>
      </c>
      <c r="J39" s="471">
        <f t="shared" ref="J39:K39" si="28">(J42-J37)/5*2+J37</f>
        <v>5.0860000000000003</v>
      </c>
      <c r="K39" s="468">
        <f t="shared" si="28"/>
        <v>5.024</v>
      </c>
      <c r="L39" s="462">
        <v>0.7</v>
      </c>
      <c r="M39" s="472">
        <f t="shared" ref="M39:N39" si="29">(M42-M37)/5*2+M37</f>
        <v>5.0640000000000001</v>
      </c>
      <c r="N39" s="470">
        <f t="shared" si="29"/>
        <v>5.032</v>
      </c>
      <c r="O39" s="459">
        <v>0.7</v>
      </c>
      <c r="P39" s="471">
        <f t="shared" ref="P39:Q39" si="30">(P42-P37)/5*2+P37</f>
        <v>8.06</v>
      </c>
      <c r="Q39" s="468">
        <f t="shared" si="30"/>
        <v>8.2720000000000002</v>
      </c>
      <c r="R39" s="462">
        <v>0.7</v>
      </c>
    </row>
    <row r="40" spans="1:18" ht="14.25" hidden="1" x14ac:dyDescent="0.2">
      <c r="A40" s="465">
        <v>1.3720000000000001</v>
      </c>
      <c r="B40" s="466">
        <v>1.274</v>
      </c>
      <c r="C40" s="459">
        <v>0.8</v>
      </c>
      <c r="D40" s="467">
        <f t="shared" ref="D40:E40" si="31">(D42-D37)/5*3+D37</f>
        <v>2.3719999999999999</v>
      </c>
      <c r="E40" s="468">
        <f t="shared" si="31"/>
        <v>2.198</v>
      </c>
      <c r="F40" s="462">
        <v>0.8</v>
      </c>
      <c r="G40" s="469">
        <f t="shared" ref="G40:H40" si="32">(G42-G37)/5*3+G37</f>
        <v>4.7278000000000002</v>
      </c>
      <c r="H40" s="470">
        <f t="shared" si="32"/>
        <v>3.742</v>
      </c>
      <c r="I40" s="459">
        <v>0.8</v>
      </c>
      <c r="J40" s="471">
        <f t="shared" ref="J40:K40" si="33">(J42-J37)/5*3+J37</f>
        <v>5.8140000000000001</v>
      </c>
      <c r="K40" s="468">
        <f t="shared" si="33"/>
        <v>5.7360000000000007</v>
      </c>
      <c r="L40" s="462">
        <v>0.8</v>
      </c>
      <c r="M40" s="472">
        <f t="shared" ref="M40:N40" si="34">(M42-M37)/5*3+M37</f>
        <v>6.1560000000000006</v>
      </c>
      <c r="N40" s="470">
        <f t="shared" si="34"/>
        <v>6.1280000000000001</v>
      </c>
      <c r="O40" s="459">
        <v>0.8</v>
      </c>
      <c r="P40" s="471">
        <f t="shared" ref="P40:Q40" si="35">(P42-P37)/5*3+P37</f>
        <v>9.370000000000001</v>
      </c>
      <c r="Q40" s="468">
        <f t="shared" si="35"/>
        <v>9.6280000000000001</v>
      </c>
      <c r="R40" s="462">
        <v>0.8</v>
      </c>
    </row>
    <row r="41" spans="1:18" ht="14.25" hidden="1" x14ac:dyDescent="0.2">
      <c r="A41" s="465">
        <v>1.496</v>
      </c>
      <c r="B41" s="466">
        <v>1.3820000000000001</v>
      </c>
      <c r="C41" s="459">
        <v>0.9</v>
      </c>
      <c r="D41" s="467">
        <f t="shared" ref="D41:E41" si="36">(D42-D37)/5*4+D37</f>
        <v>2.6159999999999997</v>
      </c>
      <c r="E41" s="468">
        <f t="shared" si="36"/>
        <v>2.4039999999999999</v>
      </c>
      <c r="F41" s="462">
        <v>0.9</v>
      </c>
      <c r="G41" s="472">
        <f t="shared" ref="G41:H41" si="37">(G42-G37)/5*4+G37</f>
        <v>5.3903999999999996</v>
      </c>
      <c r="H41" s="470">
        <f t="shared" si="37"/>
        <v>4.1560000000000006</v>
      </c>
      <c r="I41" s="459">
        <v>0.9</v>
      </c>
      <c r="J41" s="471">
        <f t="shared" ref="J41:K41" si="38">(J42-J37)/5*4+J37</f>
        <v>6.5419999999999998</v>
      </c>
      <c r="K41" s="468">
        <f t="shared" si="38"/>
        <v>6.4480000000000004</v>
      </c>
      <c r="L41" s="462">
        <v>0.9</v>
      </c>
      <c r="M41" s="472">
        <f t="shared" ref="M41:N41" si="39">(M42-M37)/5*4+M37</f>
        <v>7.2480000000000002</v>
      </c>
      <c r="N41" s="470">
        <f t="shared" si="39"/>
        <v>7.2240000000000002</v>
      </c>
      <c r="O41" s="459">
        <v>0.9</v>
      </c>
      <c r="P41" s="471">
        <f t="shared" ref="P41:Q41" si="40">(P42-P37)/5*4+P37</f>
        <v>10.68</v>
      </c>
      <c r="Q41" s="468">
        <f t="shared" si="40"/>
        <v>10.984</v>
      </c>
      <c r="R41" s="462">
        <v>0.9</v>
      </c>
    </row>
    <row r="42" spans="1:18" ht="14.25" hidden="1" x14ac:dyDescent="0.2">
      <c r="A42" s="465">
        <v>1.62</v>
      </c>
      <c r="B42" s="466">
        <v>1.49</v>
      </c>
      <c r="C42" s="459">
        <v>1</v>
      </c>
      <c r="D42" s="467">
        <v>2.86</v>
      </c>
      <c r="E42" s="468">
        <v>2.61</v>
      </c>
      <c r="F42" s="462">
        <v>1</v>
      </c>
      <c r="G42" s="472">
        <v>6.0529999999999999</v>
      </c>
      <c r="H42" s="470">
        <v>4.57</v>
      </c>
      <c r="I42" s="459">
        <v>1</v>
      </c>
      <c r="J42" s="471">
        <v>7.27</v>
      </c>
      <c r="K42" s="468">
        <v>7.16</v>
      </c>
      <c r="L42" s="462">
        <v>1</v>
      </c>
      <c r="M42" s="472">
        <v>8.34</v>
      </c>
      <c r="N42" s="470">
        <v>8.32</v>
      </c>
      <c r="O42" s="459">
        <v>1</v>
      </c>
      <c r="P42" s="471">
        <v>11.99</v>
      </c>
      <c r="Q42" s="468">
        <v>12.34</v>
      </c>
      <c r="R42" s="462">
        <v>1</v>
      </c>
    </row>
    <row r="43" spans="1:18" ht="14.25" hidden="1" x14ac:dyDescent="0.2">
      <c r="A43" s="465">
        <v>1.7240000000000002</v>
      </c>
      <c r="B43" s="466">
        <v>1.5720000000000001</v>
      </c>
      <c r="C43" s="459">
        <v>1.1000000000000001</v>
      </c>
      <c r="D43" s="467">
        <f t="shared" ref="D43:E43" si="41">(D47-D42)/5*1+D42</f>
        <v>3.05</v>
      </c>
      <c r="E43" s="468">
        <f t="shared" si="41"/>
        <v>2.7839999999999998</v>
      </c>
      <c r="F43" s="462">
        <v>1.1000000000000001</v>
      </c>
      <c r="G43" s="472">
        <f t="shared" ref="G43:H43" si="42">(G47-G42)/5*1+G42</f>
        <v>7.0844000000000005</v>
      </c>
      <c r="H43" s="470">
        <f t="shared" si="42"/>
        <v>4.9460000000000006</v>
      </c>
      <c r="I43" s="459">
        <v>1.1000000000000001</v>
      </c>
      <c r="J43" s="471">
        <f t="shared" ref="J43:K43" si="43">(J47-J42)/5*1+J42</f>
        <v>8.0179999999999989</v>
      </c>
      <c r="K43" s="468">
        <f t="shared" si="43"/>
        <v>7.8220000000000001</v>
      </c>
      <c r="L43" s="462">
        <v>1.1000000000000001</v>
      </c>
      <c r="M43" s="472">
        <f t="shared" ref="M43:N43" si="44">(M47-M42)/5*1+M42</f>
        <v>9.4960000000000004</v>
      </c>
      <c r="N43" s="470">
        <f t="shared" si="44"/>
        <v>9.2759999999999998</v>
      </c>
      <c r="O43" s="459">
        <v>1.1000000000000001</v>
      </c>
      <c r="P43" s="471">
        <f t="shared" ref="P43:Q43" si="45">(P47-P42)/5*1+P42</f>
        <v>13.122</v>
      </c>
      <c r="Q43" s="468">
        <f t="shared" si="45"/>
        <v>13.39</v>
      </c>
      <c r="R43" s="462">
        <v>1.1000000000000001</v>
      </c>
    </row>
    <row r="44" spans="1:18" ht="14.25" hidden="1" x14ac:dyDescent="0.2">
      <c r="A44" s="465">
        <v>1.8280000000000001</v>
      </c>
      <c r="B44" s="466">
        <v>1.6539999999999999</v>
      </c>
      <c r="C44" s="459">
        <v>1.2</v>
      </c>
      <c r="D44" s="467">
        <f t="shared" ref="D44:E44" si="46">(D47-D42)/5*2+D42</f>
        <v>3.2399999999999998</v>
      </c>
      <c r="E44" s="468">
        <f t="shared" si="46"/>
        <v>2.9579999999999997</v>
      </c>
      <c r="F44" s="462">
        <v>1.2</v>
      </c>
      <c r="G44" s="472">
        <f t="shared" ref="G44:H44" si="47">(G47-G42)/5*2+G42</f>
        <v>8.1158000000000001</v>
      </c>
      <c r="H44" s="470">
        <f t="shared" si="47"/>
        <v>5.3220000000000001</v>
      </c>
      <c r="I44" s="459">
        <v>1.2</v>
      </c>
      <c r="J44" s="471">
        <f t="shared" ref="J44:K44" si="48">(J47-J42)/5*2+J42</f>
        <v>8.766</v>
      </c>
      <c r="K44" s="468">
        <f t="shared" si="48"/>
        <v>8.484</v>
      </c>
      <c r="L44" s="462">
        <v>1.2</v>
      </c>
      <c r="M44" s="472">
        <f t="shared" ref="M44:N44" si="49">(M47-M42)/5*2+M42</f>
        <v>10.651999999999999</v>
      </c>
      <c r="N44" s="470">
        <f t="shared" si="49"/>
        <v>10.231999999999999</v>
      </c>
      <c r="O44" s="459">
        <v>1.2</v>
      </c>
      <c r="P44" s="471">
        <f t="shared" ref="P44:Q44" si="50">(P47-P42)/5*2+P42</f>
        <v>14.254</v>
      </c>
      <c r="Q44" s="468">
        <f t="shared" si="50"/>
        <v>14.44</v>
      </c>
      <c r="R44" s="462">
        <v>1.2</v>
      </c>
    </row>
    <row r="45" spans="1:18" ht="14.25" hidden="1" x14ac:dyDescent="0.2">
      <c r="A45" s="465">
        <v>1.9320000000000002</v>
      </c>
      <c r="B45" s="466">
        <v>1.736</v>
      </c>
      <c r="C45" s="459">
        <v>1.3</v>
      </c>
      <c r="D45" s="467">
        <f t="shared" ref="D45:E45" si="51">(D47-D42)/5*3+D42</f>
        <v>3.4299999999999997</v>
      </c>
      <c r="E45" s="468">
        <f t="shared" si="51"/>
        <v>3.1319999999999997</v>
      </c>
      <c r="F45" s="462">
        <v>1.3</v>
      </c>
      <c r="G45" s="472">
        <f t="shared" ref="G45:H45" si="52">(G47-G42)/5*3+G42</f>
        <v>9.1471999999999998</v>
      </c>
      <c r="H45" s="470">
        <f t="shared" si="52"/>
        <v>5.6980000000000004</v>
      </c>
      <c r="I45" s="459">
        <v>1.3</v>
      </c>
      <c r="J45" s="471">
        <f t="shared" ref="J45:K45" si="53">(J47-J42)/5*3+J42</f>
        <v>9.5139999999999993</v>
      </c>
      <c r="K45" s="468">
        <f t="shared" si="53"/>
        <v>9.1460000000000008</v>
      </c>
      <c r="L45" s="462">
        <v>1.3</v>
      </c>
      <c r="M45" s="472">
        <f t="shared" ref="M45:N45" si="54">(M47-M42)/5*3+M42</f>
        <v>11.808</v>
      </c>
      <c r="N45" s="470">
        <f t="shared" si="54"/>
        <v>11.187999999999999</v>
      </c>
      <c r="O45" s="459">
        <v>1.3</v>
      </c>
      <c r="P45" s="471">
        <f t="shared" ref="P45:Q45" si="55">(P47-P42)/5*3+P42</f>
        <v>15.385999999999999</v>
      </c>
      <c r="Q45" s="468">
        <f t="shared" si="55"/>
        <v>15.49</v>
      </c>
      <c r="R45" s="462">
        <v>1.3</v>
      </c>
    </row>
    <row r="46" spans="1:18" ht="14.25" hidden="1" x14ac:dyDescent="0.2">
      <c r="A46" s="465">
        <v>2.036</v>
      </c>
      <c r="B46" s="466">
        <v>1.8180000000000001</v>
      </c>
      <c r="C46" s="459">
        <v>1.4</v>
      </c>
      <c r="D46" s="467">
        <f t="shared" ref="D46:E46" si="56">(D47-D42)/5*4+D42</f>
        <v>3.62</v>
      </c>
      <c r="E46" s="468">
        <f t="shared" si="56"/>
        <v>3.306</v>
      </c>
      <c r="F46" s="462">
        <v>1.4</v>
      </c>
      <c r="G46" s="472">
        <f t="shared" ref="G46:H46" si="57">(G47-G42)/5*4+G42</f>
        <v>10.178599999999999</v>
      </c>
      <c r="H46" s="470">
        <f t="shared" si="57"/>
        <v>6.0739999999999998</v>
      </c>
      <c r="I46" s="459">
        <v>1.4</v>
      </c>
      <c r="J46" s="471">
        <f t="shared" ref="J46:K46" si="58">(J47-J42)/5*4+J42</f>
        <v>10.262</v>
      </c>
      <c r="K46" s="468">
        <f t="shared" si="58"/>
        <v>9.8079999999999998</v>
      </c>
      <c r="L46" s="462">
        <v>1.4</v>
      </c>
      <c r="M46" s="472">
        <f t="shared" ref="M46:N46" si="59">(M47-M42)/5*4+M42</f>
        <v>12.963999999999999</v>
      </c>
      <c r="N46" s="470">
        <f t="shared" si="59"/>
        <v>12.144</v>
      </c>
      <c r="O46" s="459">
        <v>1.4</v>
      </c>
      <c r="P46" s="471">
        <f t="shared" ref="P46:Q46" si="60">(P47-P42)/5*4+P42</f>
        <v>16.518000000000001</v>
      </c>
      <c r="Q46" s="468">
        <f t="shared" si="60"/>
        <v>16.54</v>
      </c>
      <c r="R46" s="462">
        <v>1.4</v>
      </c>
    </row>
    <row r="47" spans="1:18" ht="14.25" hidden="1" x14ac:dyDescent="0.2">
      <c r="A47" s="465">
        <v>2.14</v>
      </c>
      <c r="B47" s="466">
        <v>1.9</v>
      </c>
      <c r="C47" s="459">
        <v>1.5</v>
      </c>
      <c r="D47" s="467">
        <v>3.81</v>
      </c>
      <c r="E47" s="468">
        <v>3.48</v>
      </c>
      <c r="F47" s="462">
        <v>1.5</v>
      </c>
      <c r="G47" s="472">
        <v>11.21</v>
      </c>
      <c r="H47" s="470">
        <v>6.45</v>
      </c>
      <c r="I47" s="459">
        <v>1.5</v>
      </c>
      <c r="J47" s="471">
        <v>11.01</v>
      </c>
      <c r="K47" s="468">
        <v>10.47</v>
      </c>
      <c r="L47" s="462">
        <v>1.5</v>
      </c>
      <c r="M47" s="472">
        <v>14.12</v>
      </c>
      <c r="N47" s="470">
        <v>13.1</v>
      </c>
      <c r="O47" s="459">
        <v>1.5</v>
      </c>
      <c r="P47" s="471">
        <v>17.649999999999999</v>
      </c>
      <c r="Q47" s="468">
        <v>17.59</v>
      </c>
      <c r="R47" s="462">
        <v>1.5</v>
      </c>
    </row>
    <row r="48" spans="1:18" ht="14.25" hidden="1" x14ac:dyDescent="0.2">
      <c r="A48" s="465">
        <v>2.242</v>
      </c>
      <c r="B48" s="466">
        <v>1.974</v>
      </c>
      <c r="C48" s="459">
        <v>1.6</v>
      </c>
      <c r="D48" s="467">
        <f t="shared" ref="D48:E48" si="61">(D52-D47)/5*1+D47</f>
        <v>4.0019999999999998</v>
      </c>
      <c r="E48" s="468">
        <f t="shared" si="61"/>
        <v>3.6219999999999999</v>
      </c>
      <c r="F48" s="462">
        <v>1.6</v>
      </c>
      <c r="G48" s="472">
        <f t="shared" ref="G48:H48" si="62">(G52-G47)/5*1+G47</f>
        <v>12.142000000000001</v>
      </c>
      <c r="H48" s="470">
        <f t="shared" si="62"/>
        <v>6.6820000000000004</v>
      </c>
      <c r="I48" s="459">
        <v>1.6</v>
      </c>
      <c r="J48" s="471">
        <f t="shared" ref="J48:K48" si="63">(J52-J47)/5*1+J47</f>
        <v>11.54</v>
      </c>
      <c r="K48" s="468">
        <f t="shared" si="63"/>
        <v>10.968</v>
      </c>
      <c r="L48" s="462">
        <v>1.6</v>
      </c>
      <c r="M48" s="472">
        <f t="shared" ref="M48:N48" si="64">(M52-M47)/5*1+M47</f>
        <v>15.03</v>
      </c>
      <c r="N48" s="470">
        <f t="shared" si="64"/>
        <v>13.736000000000001</v>
      </c>
      <c r="O48" s="459">
        <v>1.6</v>
      </c>
      <c r="P48" s="471">
        <f t="shared" ref="P48:Q48" si="65">(P52-P47)/5*1+P47</f>
        <v>18.667999999999999</v>
      </c>
      <c r="Q48" s="468">
        <f t="shared" si="65"/>
        <v>18.498000000000001</v>
      </c>
      <c r="R48" s="462">
        <v>1.6</v>
      </c>
    </row>
    <row r="49" spans="1:18" ht="14.25" hidden="1" x14ac:dyDescent="0.2">
      <c r="A49" s="465">
        <v>2.3439999999999999</v>
      </c>
      <c r="B49" s="466">
        <v>2.048</v>
      </c>
      <c r="C49" s="459">
        <v>1.7</v>
      </c>
      <c r="D49" s="467">
        <f t="shared" ref="D49:E49" si="66">(D52-D47)/5*2+D47</f>
        <v>4.194</v>
      </c>
      <c r="E49" s="468">
        <f t="shared" si="66"/>
        <v>3.7640000000000002</v>
      </c>
      <c r="F49" s="462">
        <v>1.7</v>
      </c>
      <c r="G49" s="472">
        <f t="shared" ref="G49:H49" si="67">(G52-G47)/5*2+G47</f>
        <v>13.074</v>
      </c>
      <c r="H49" s="470">
        <f t="shared" si="67"/>
        <v>6.9140000000000006</v>
      </c>
      <c r="I49" s="459">
        <v>1.7</v>
      </c>
      <c r="J49" s="471">
        <f t="shared" ref="J49:K49" si="68">(J52-J47)/5*2+J47</f>
        <v>12.07</v>
      </c>
      <c r="K49" s="468">
        <f t="shared" si="68"/>
        <v>11.466000000000001</v>
      </c>
      <c r="L49" s="462">
        <v>1.7</v>
      </c>
      <c r="M49" s="472">
        <f t="shared" ref="M49:N49" si="69">(M52-M47)/5*2+M47</f>
        <v>15.94</v>
      </c>
      <c r="N49" s="470">
        <f t="shared" si="69"/>
        <v>14.372</v>
      </c>
      <c r="O49" s="459">
        <v>1.7</v>
      </c>
      <c r="P49" s="471">
        <f t="shared" ref="P49:Q49" si="70">(P52-P47)/5*2+P47</f>
        <v>19.686</v>
      </c>
      <c r="Q49" s="468">
        <f t="shared" si="70"/>
        <v>19.405999999999999</v>
      </c>
      <c r="R49" s="462">
        <v>1.7</v>
      </c>
    </row>
    <row r="50" spans="1:18" ht="14.25" hidden="1" x14ac:dyDescent="0.2">
      <c r="A50" s="465">
        <v>2.4459999999999997</v>
      </c>
      <c r="B50" s="466">
        <v>2.1219999999999999</v>
      </c>
      <c r="C50" s="459">
        <v>1.8</v>
      </c>
      <c r="D50" s="467">
        <f t="shared" ref="D50:E50" si="71">(D52-D47)/5*3+D47</f>
        <v>4.3859999999999992</v>
      </c>
      <c r="E50" s="468">
        <f t="shared" si="71"/>
        <v>3.9060000000000001</v>
      </c>
      <c r="F50" s="462">
        <v>1.8</v>
      </c>
      <c r="G50" s="472">
        <f t="shared" ref="G50:H50" si="72">(G52-G47)/5*3+G47</f>
        <v>14.006</v>
      </c>
      <c r="H50" s="470">
        <f t="shared" si="72"/>
        <v>7.1460000000000008</v>
      </c>
      <c r="I50" s="459">
        <v>1.8</v>
      </c>
      <c r="J50" s="471">
        <f t="shared" ref="J50:K50" si="73">(J52-J47)/5*3+J47</f>
        <v>12.6</v>
      </c>
      <c r="K50" s="468">
        <f t="shared" si="73"/>
        <v>11.964</v>
      </c>
      <c r="L50" s="462">
        <v>1.8</v>
      </c>
      <c r="M50" s="472">
        <f t="shared" ref="M50:N50" si="74">(M52-M47)/5*3+M47</f>
        <v>16.850000000000001</v>
      </c>
      <c r="N50" s="470">
        <f t="shared" si="74"/>
        <v>15.008000000000001</v>
      </c>
      <c r="O50" s="459">
        <v>1.8</v>
      </c>
      <c r="P50" s="471">
        <f t="shared" ref="P50:Q50" si="75">(P52-P47)/5*3+P47</f>
        <v>20.704000000000001</v>
      </c>
      <c r="Q50" s="468">
        <f t="shared" si="75"/>
        <v>20.314</v>
      </c>
      <c r="R50" s="462">
        <v>1.8</v>
      </c>
    </row>
    <row r="51" spans="1:18" ht="14.25" hidden="1" x14ac:dyDescent="0.2">
      <c r="A51" s="465">
        <v>2.548</v>
      </c>
      <c r="B51" s="466">
        <v>2.1960000000000002</v>
      </c>
      <c r="C51" s="459">
        <v>1.9</v>
      </c>
      <c r="D51" s="467">
        <f t="shared" ref="D51:E51" si="76">(D52-D47)/5*4+D47</f>
        <v>4.5779999999999994</v>
      </c>
      <c r="E51" s="468">
        <f t="shared" si="76"/>
        <v>4.048</v>
      </c>
      <c r="F51" s="462">
        <v>1.9</v>
      </c>
      <c r="G51" s="472">
        <f t="shared" ref="G51:H51" si="77">(G52-G47)/5*4+G47</f>
        <v>14.937999999999999</v>
      </c>
      <c r="H51" s="470">
        <f t="shared" si="77"/>
        <v>7.3780000000000001</v>
      </c>
      <c r="I51" s="459">
        <v>1.9</v>
      </c>
      <c r="J51" s="471">
        <f t="shared" ref="J51:K51" si="78">(J52-J47)/5*4+J47</f>
        <v>13.129999999999999</v>
      </c>
      <c r="K51" s="468">
        <f t="shared" si="78"/>
        <v>12.462000000000002</v>
      </c>
      <c r="L51" s="462">
        <v>1.9</v>
      </c>
      <c r="M51" s="472">
        <f t="shared" ref="M51:N51" si="79">(M52-M47)/5*4+M47</f>
        <v>17.760000000000002</v>
      </c>
      <c r="N51" s="470">
        <f t="shared" si="79"/>
        <v>15.644000000000002</v>
      </c>
      <c r="O51" s="459">
        <v>1.9</v>
      </c>
      <c r="P51" s="471">
        <f t="shared" ref="P51:Q51" si="80">(P52-P47)/5*4+P47</f>
        <v>21.721999999999998</v>
      </c>
      <c r="Q51" s="468">
        <f t="shared" si="80"/>
        <v>21.221999999999998</v>
      </c>
      <c r="R51" s="462">
        <v>1.9</v>
      </c>
    </row>
    <row r="52" spans="1:18" ht="14.25" hidden="1" x14ac:dyDescent="0.2">
      <c r="A52" s="465">
        <v>2.65</v>
      </c>
      <c r="B52" s="466">
        <v>2.27</v>
      </c>
      <c r="C52" s="459">
        <v>2</v>
      </c>
      <c r="D52" s="467">
        <v>4.7699999999999996</v>
      </c>
      <c r="E52" s="468">
        <v>4.1900000000000004</v>
      </c>
      <c r="F52" s="462">
        <v>2</v>
      </c>
      <c r="G52" s="472">
        <v>15.87</v>
      </c>
      <c r="H52" s="470">
        <v>7.61</v>
      </c>
      <c r="I52" s="459">
        <v>2</v>
      </c>
      <c r="J52" s="471">
        <v>13.66</v>
      </c>
      <c r="K52" s="468">
        <v>12.96</v>
      </c>
      <c r="L52" s="462">
        <v>2</v>
      </c>
      <c r="M52" s="472">
        <v>18.670000000000002</v>
      </c>
      <c r="N52" s="470">
        <v>16.28</v>
      </c>
      <c r="O52" s="459">
        <v>2</v>
      </c>
      <c r="P52" s="471">
        <v>22.74</v>
      </c>
      <c r="Q52" s="468">
        <v>22.13</v>
      </c>
      <c r="R52" s="462">
        <v>2</v>
      </c>
    </row>
    <row r="53" spans="1:18" ht="14.25" hidden="1" x14ac:dyDescent="0.2">
      <c r="A53" s="465">
        <v>2.698</v>
      </c>
      <c r="B53" s="466">
        <v>2.3159999999999998</v>
      </c>
      <c r="C53" s="459">
        <v>2.1</v>
      </c>
      <c r="D53" s="467">
        <f t="shared" ref="D53:E53" si="81">(D57-D52)/5*1+D52</f>
        <v>4.92</v>
      </c>
      <c r="E53" s="468">
        <f t="shared" si="81"/>
        <v>4.3240000000000007</v>
      </c>
      <c r="F53" s="462">
        <v>2.1</v>
      </c>
      <c r="G53" s="472">
        <f t="shared" ref="G53:H53" si="82">(G57-G52)/5*1+G52</f>
        <v>16.838000000000001</v>
      </c>
      <c r="H53" s="470">
        <f t="shared" si="82"/>
        <v>7.8280000000000003</v>
      </c>
      <c r="I53" s="459">
        <v>2.1</v>
      </c>
      <c r="J53" s="471">
        <f t="shared" ref="J53:K53" si="83">(J57-J52)/5*1+J52</f>
        <v>14.132</v>
      </c>
      <c r="K53" s="468">
        <f t="shared" si="83"/>
        <v>13.416</v>
      </c>
      <c r="L53" s="462">
        <v>2.1</v>
      </c>
      <c r="M53" s="472">
        <f t="shared" ref="M53:N53" si="84">(M57-M52)/5*1+M52</f>
        <v>19.542000000000002</v>
      </c>
      <c r="N53" s="470">
        <f t="shared" si="84"/>
        <v>16.87</v>
      </c>
      <c r="O53" s="459">
        <v>2.1</v>
      </c>
      <c r="P53" s="471">
        <f t="shared" ref="P53:Q53" si="85">(P57-P52)/5*1+P52</f>
        <v>23.765999999999998</v>
      </c>
      <c r="Q53" s="468">
        <f t="shared" si="85"/>
        <v>22.834</v>
      </c>
      <c r="R53" s="462">
        <v>2.1</v>
      </c>
    </row>
    <row r="54" spans="1:18" ht="14.25" hidden="1" x14ac:dyDescent="0.2">
      <c r="A54" s="465">
        <v>2.746</v>
      </c>
      <c r="B54" s="466">
        <v>2.3620000000000001</v>
      </c>
      <c r="C54" s="459">
        <v>2.2000000000000002</v>
      </c>
      <c r="D54" s="471">
        <f t="shared" ref="D54:E54" si="86">(D57-D52)/5*2+D52</f>
        <v>5.0699999999999994</v>
      </c>
      <c r="E54" s="468">
        <f t="shared" si="86"/>
        <v>4.4580000000000002</v>
      </c>
      <c r="F54" s="462">
        <v>2.2000000000000002</v>
      </c>
      <c r="G54" s="472">
        <f t="shared" ref="G54:H54" si="87">(G57-G52)/5*2+G52</f>
        <v>17.806000000000001</v>
      </c>
      <c r="H54" s="470">
        <f t="shared" si="87"/>
        <v>8.0459999999999994</v>
      </c>
      <c r="I54" s="459">
        <v>2.2000000000000002</v>
      </c>
      <c r="J54" s="471">
        <f t="shared" ref="J54:K54" si="88">(J57-J52)/5*2+J52</f>
        <v>14.603999999999999</v>
      </c>
      <c r="K54" s="468">
        <f t="shared" si="88"/>
        <v>13.872</v>
      </c>
      <c r="L54" s="462">
        <v>2.2000000000000002</v>
      </c>
      <c r="M54" s="472">
        <f t="shared" ref="M54:N54" si="89">(M57-M52)/5*2+M52</f>
        <v>20.414000000000001</v>
      </c>
      <c r="N54" s="470">
        <f t="shared" si="89"/>
        <v>17.46</v>
      </c>
      <c r="O54" s="459">
        <v>2.2000000000000002</v>
      </c>
      <c r="P54" s="471">
        <f t="shared" ref="P54:Q54" si="90">(P57-P52)/5*2+P52</f>
        <v>24.791999999999998</v>
      </c>
      <c r="Q54" s="468">
        <f t="shared" si="90"/>
        <v>23.538</v>
      </c>
      <c r="R54" s="462">
        <v>2.2000000000000002</v>
      </c>
    </row>
    <row r="55" spans="1:18" ht="14.25" hidden="1" x14ac:dyDescent="0.2">
      <c r="A55" s="465">
        <v>2.794</v>
      </c>
      <c r="B55" s="466">
        <v>2.4079999999999999</v>
      </c>
      <c r="C55" s="459">
        <v>2.2999999999999998</v>
      </c>
      <c r="D55" s="471">
        <f t="shared" ref="D55:E55" si="91">(D57-D52)/5*3+D52</f>
        <v>5.22</v>
      </c>
      <c r="E55" s="468">
        <f t="shared" si="91"/>
        <v>4.5920000000000005</v>
      </c>
      <c r="F55" s="462">
        <v>2.2999999999999998</v>
      </c>
      <c r="G55" s="472">
        <f t="shared" ref="G55:H55" si="92">(G57-G52)/5*3+G52</f>
        <v>18.774000000000001</v>
      </c>
      <c r="H55" s="470">
        <f t="shared" si="92"/>
        <v>8.2639999999999993</v>
      </c>
      <c r="I55" s="459">
        <v>2.2999999999999998</v>
      </c>
      <c r="J55" s="471">
        <f t="shared" ref="J55:K55" si="93">(J57-J52)/5*3+J52</f>
        <v>15.076000000000001</v>
      </c>
      <c r="K55" s="468">
        <f t="shared" si="93"/>
        <v>14.327999999999999</v>
      </c>
      <c r="L55" s="462">
        <v>2.2999999999999998</v>
      </c>
      <c r="M55" s="472">
        <f t="shared" ref="M55:N55" si="94">(M57-M52)/5*3+M52</f>
        <v>21.286000000000001</v>
      </c>
      <c r="N55" s="470">
        <f t="shared" si="94"/>
        <v>18.05</v>
      </c>
      <c r="O55" s="459">
        <v>2.2999999999999998</v>
      </c>
      <c r="P55" s="471">
        <f t="shared" ref="P55:Q55" si="95">(P57-P52)/5*3+P52</f>
        <v>25.817999999999998</v>
      </c>
      <c r="Q55" s="468">
        <f t="shared" si="95"/>
        <v>24.241999999999997</v>
      </c>
      <c r="R55" s="462">
        <v>2.2999999999999998</v>
      </c>
    </row>
    <row r="56" spans="1:18" ht="14.25" hidden="1" x14ac:dyDescent="0.2">
      <c r="A56" s="465">
        <v>2.8420000000000001</v>
      </c>
      <c r="B56" s="466">
        <v>2.4540000000000002</v>
      </c>
      <c r="C56" s="459">
        <v>2.4</v>
      </c>
      <c r="D56" s="471">
        <f t="shared" ref="D56:E56" si="96">(D57-D52)/5*4+D52</f>
        <v>5.3699999999999992</v>
      </c>
      <c r="E56" s="468">
        <f t="shared" si="96"/>
        <v>4.726</v>
      </c>
      <c r="F56" s="462">
        <v>2.4</v>
      </c>
      <c r="G56" s="472">
        <f t="shared" ref="G56:H56" si="97">(G57-G52)/5*4+G52</f>
        <v>19.742000000000001</v>
      </c>
      <c r="H56" s="470">
        <f t="shared" si="97"/>
        <v>8.4819999999999993</v>
      </c>
      <c r="I56" s="459">
        <v>2.4</v>
      </c>
      <c r="J56" s="471">
        <f t="shared" ref="J56:K56" si="98">(J57-J52)/5*4+J52</f>
        <v>15.548</v>
      </c>
      <c r="K56" s="468">
        <f t="shared" si="98"/>
        <v>14.784000000000001</v>
      </c>
      <c r="L56" s="462">
        <v>2.4</v>
      </c>
      <c r="M56" s="472">
        <f t="shared" ref="M56:N56" si="99">(M57-M52)/5*4+M52</f>
        <v>22.158000000000001</v>
      </c>
      <c r="N56" s="470">
        <f t="shared" si="99"/>
        <v>18.64</v>
      </c>
      <c r="O56" s="459">
        <v>2.4</v>
      </c>
      <c r="P56" s="471">
        <f t="shared" ref="P56:Q56" si="100">(P57-P52)/5*4+P52</f>
        <v>26.844000000000001</v>
      </c>
      <c r="Q56" s="468">
        <f t="shared" si="100"/>
        <v>24.945999999999998</v>
      </c>
      <c r="R56" s="462">
        <v>2.4</v>
      </c>
    </row>
    <row r="57" spans="1:18" ht="14.25" hidden="1" x14ac:dyDescent="0.2">
      <c r="A57" s="465">
        <v>2.89</v>
      </c>
      <c r="B57" s="466">
        <v>2.5</v>
      </c>
      <c r="C57" s="459">
        <v>2.5</v>
      </c>
      <c r="D57" s="471">
        <v>5.52</v>
      </c>
      <c r="E57" s="468">
        <v>4.8600000000000003</v>
      </c>
      <c r="F57" s="462">
        <v>2.5</v>
      </c>
      <c r="G57" s="472">
        <v>20.71</v>
      </c>
      <c r="H57" s="470">
        <v>8.6999999999999993</v>
      </c>
      <c r="I57" s="459">
        <v>2.5</v>
      </c>
      <c r="J57" s="471">
        <v>16.02</v>
      </c>
      <c r="K57" s="468">
        <v>15.24</v>
      </c>
      <c r="L57" s="462">
        <v>2.5</v>
      </c>
      <c r="M57" s="472">
        <v>23.03</v>
      </c>
      <c r="N57" s="470">
        <v>19.23</v>
      </c>
      <c r="O57" s="459">
        <v>2.5</v>
      </c>
      <c r="P57" s="471">
        <v>27.87</v>
      </c>
      <c r="Q57" s="468">
        <v>25.65</v>
      </c>
      <c r="R57" s="462">
        <v>2.5</v>
      </c>
    </row>
    <row r="58" spans="1:18" ht="14.25" hidden="1" x14ac:dyDescent="0.2">
      <c r="A58" s="465">
        <v>3.1160000000000001</v>
      </c>
      <c r="B58" s="466">
        <v>2.5779999999999998</v>
      </c>
      <c r="C58" s="459">
        <v>2.6</v>
      </c>
      <c r="D58" s="471">
        <f t="shared" ref="D58:E58" si="101">(D62-D57)/5*1+D57</f>
        <v>5.7159999999999993</v>
      </c>
      <c r="E58" s="468">
        <f t="shared" si="101"/>
        <v>4.9860000000000007</v>
      </c>
      <c r="F58" s="462">
        <v>2.6</v>
      </c>
      <c r="G58" s="472">
        <f t="shared" ref="G58:H58" si="102">(G62-G57)/5*1+G57</f>
        <v>21.565999999999999</v>
      </c>
      <c r="H58" s="470">
        <f t="shared" si="102"/>
        <v>8.84</v>
      </c>
      <c r="I58" s="459">
        <v>2.6</v>
      </c>
      <c r="J58" s="471">
        <f t="shared" ref="J58:K58" si="103">(J62-J57)/5*1+J57</f>
        <v>16.457999999999998</v>
      </c>
      <c r="K58" s="468">
        <f t="shared" si="103"/>
        <v>15.646000000000001</v>
      </c>
      <c r="L58" s="462">
        <v>2.6</v>
      </c>
      <c r="M58" s="472">
        <f t="shared" ref="M58:N58" si="104">(M62-M57)/5*1+M57</f>
        <v>23.812000000000001</v>
      </c>
      <c r="N58" s="470">
        <f t="shared" si="104"/>
        <v>19.722000000000001</v>
      </c>
      <c r="O58" s="459">
        <v>2.6</v>
      </c>
      <c r="P58" s="471">
        <f t="shared" ref="P58:Q58" si="105">(P62-P57)/5*1+P57</f>
        <v>28.76</v>
      </c>
      <c r="Q58" s="468">
        <f t="shared" si="105"/>
        <v>26.411999999999999</v>
      </c>
      <c r="R58" s="462">
        <v>2.6</v>
      </c>
    </row>
    <row r="59" spans="1:18" ht="14.25" hidden="1" x14ac:dyDescent="0.2">
      <c r="A59" s="465">
        <v>3.3420000000000001</v>
      </c>
      <c r="B59" s="466">
        <v>2.6560000000000001</v>
      </c>
      <c r="C59" s="459">
        <v>2.7</v>
      </c>
      <c r="D59" s="471">
        <f t="shared" ref="D59:E59" si="106">(D62-D57)/5*2+D57</f>
        <v>5.9119999999999999</v>
      </c>
      <c r="E59" s="468">
        <f t="shared" si="106"/>
        <v>5.1120000000000001</v>
      </c>
      <c r="F59" s="462">
        <v>2.7</v>
      </c>
      <c r="G59" s="472">
        <f t="shared" ref="G59:H59" si="107">(G62-G57)/5*2+G57</f>
        <v>22.422000000000001</v>
      </c>
      <c r="H59" s="470">
        <f t="shared" si="107"/>
        <v>8.98</v>
      </c>
      <c r="I59" s="459">
        <v>2.7</v>
      </c>
      <c r="J59" s="471">
        <f t="shared" ref="J59:K59" si="108">(J62-J57)/5*2+J57</f>
        <v>16.896000000000001</v>
      </c>
      <c r="K59" s="468">
        <f t="shared" si="108"/>
        <v>16.052</v>
      </c>
      <c r="L59" s="462">
        <v>2.7</v>
      </c>
      <c r="M59" s="472">
        <f t="shared" ref="M59:N59" si="109">(M62-M57)/5*2+M57</f>
        <v>24.594000000000001</v>
      </c>
      <c r="N59" s="470">
        <f t="shared" si="109"/>
        <v>20.214000000000002</v>
      </c>
      <c r="O59" s="459">
        <v>2.7</v>
      </c>
      <c r="P59" s="471">
        <f t="shared" ref="P59:Q59" si="110">(P62-P57)/5*2+P57</f>
        <v>29.650000000000002</v>
      </c>
      <c r="Q59" s="468">
        <f t="shared" si="110"/>
        <v>27.173999999999999</v>
      </c>
      <c r="R59" s="462">
        <v>2.7</v>
      </c>
    </row>
    <row r="60" spans="1:18" ht="14.25" hidden="1" x14ac:dyDescent="0.2">
      <c r="A60" s="465">
        <v>3.5679999999999996</v>
      </c>
      <c r="B60" s="466">
        <v>2.734</v>
      </c>
      <c r="C60" s="459">
        <v>2.8</v>
      </c>
      <c r="D60" s="471">
        <f t="shared" ref="D60:E60" si="111">(D62-D57)/5*3+D57</f>
        <v>6.1079999999999997</v>
      </c>
      <c r="E60" s="468">
        <f t="shared" si="111"/>
        <v>5.2380000000000004</v>
      </c>
      <c r="F60" s="462">
        <v>2.8</v>
      </c>
      <c r="G60" s="472">
        <f t="shared" ref="G60:H60" si="112">(G62-G57)/5*3+G57</f>
        <v>23.277999999999999</v>
      </c>
      <c r="H60" s="470">
        <f t="shared" si="112"/>
        <v>9.1199999999999992</v>
      </c>
      <c r="I60" s="459">
        <v>2.8</v>
      </c>
      <c r="J60" s="471">
        <f t="shared" ref="J60:K60" si="113">(J62-J57)/5*3+J57</f>
        <v>17.334</v>
      </c>
      <c r="K60" s="468">
        <f t="shared" si="113"/>
        <v>16.457999999999998</v>
      </c>
      <c r="L60" s="462">
        <v>2.8</v>
      </c>
      <c r="M60" s="472">
        <f t="shared" ref="M60:N60" si="114">(M62-M57)/5*3+M57</f>
        <v>25.376000000000001</v>
      </c>
      <c r="N60" s="470">
        <f t="shared" si="114"/>
        <v>20.706</v>
      </c>
      <c r="O60" s="459">
        <v>2.8</v>
      </c>
      <c r="P60" s="471">
        <f t="shared" ref="P60:Q60" si="115">(P62-P57)/5*3+P57</f>
        <v>30.54</v>
      </c>
      <c r="Q60" s="468">
        <f t="shared" si="115"/>
        <v>27.936</v>
      </c>
      <c r="R60" s="462">
        <v>2.8</v>
      </c>
    </row>
    <row r="61" spans="1:18" ht="14.25" hidden="1" x14ac:dyDescent="0.2">
      <c r="A61" s="465">
        <v>3.7939999999999996</v>
      </c>
      <c r="B61" s="466">
        <v>2.8120000000000003</v>
      </c>
      <c r="C61" s="459">
        <v>2.9</v>
      </c>
      <c r="D61" s="471">
        <f t="shared" ref="D61:E61" si="116">(D62-D57)/5*4+D57</f>
        <v>6.3040000000000003</v>
      </c>
      <c r="E61" s="468">
        <f t="shared" si="116"/>
        <v>5.3639999999999999</v>
      </c>
      <c r="F61" s="462">
        <v>2.9</v>
      </c>
      <c r="G61" s="472">
        <f t="shared" ref="G61:H61" si="117">(G62-G57)/5*4+G57</f>
        <v>24.134</v>
      </c>
      <c r="H61" s="470">
        <f t="shared" si="117"/>
        <v>9.26</v>
      </c>
      <c r="I61" s="459">
        <v>2.9</v>
      </c>
      <c r="J61" s="471">
        <f t="shared" ref="J61:K61" si="118">(J62-J57)/5*4+J57</f>
        <v>17.772000000000002</v>
      </c>
      <c r="K61" s="468">
        <f t="shared" si="118"/>
        <v>16.864000000000001</v>
      </c>
      <c r="L61" s="462">
        <v>2.9</v>
      </c>
      <c r="M61" s="472">
        <f t="shared" ref="M61:N61" si="119">(M62-M57)/5*4+M57</f>
        <v>26.158000000000001</v>
      </c>
      <c r="N61" s="470">
        <f t="shared" si="119"/>
        <v>21.198</v>
      </c>
      <c r="O61" s="459">
        <v>2.9</v>
      </c>
      <c r="P61" s="471">
        <f t="shared" ref="P61:Q61" si="120">(P62-P57)/5*4+P57</f>
        <v>31.43</v>
      </c>
      <c r="Q61" s="468">
        <f t="shared" si="120"/>
        <v>28.698</v>
      </c>
      <c r="R61" s="462">
        <v>2.9</v>
      </c>
    </row>
    <row r="62" spans="1:18" ht="14.25" hidden="1" x14ac:dyDescent="0.2">
      <c r="A62" s="465">
        <v>4.0199999999999996</v>
      </c>
      <c r="B62" s="466">
        <v>2.89</v>
      </c>
      <c r="C62" s="459">
        <v>3</v>
      </c>
      <c r="D62" s="471">
        <v>6.5</v>
      </c>
      <c r="E62" s="468">
        <v>5.49</v>
      </c>
      <c r="F62" s="462">
        <v>3</v>
      </c>
      <c r="G62" s="472">
        <v>24.99</v>
      </c>
      <c r="H62" s="470">
        <v>9.4</v>
      </c>
      <c r="I62" s="459">
        <v>3</v>
      </c>
      <c r="J62" s="471">
        <v>18.21</v>
      </c>
      <c r="K62" s="468">
        <v>17.27</v>
      </c>
      <c r="L62" s="462">
        <v>3</v>
      </c>
      <c r="M62" s="472">
        <v>26.94</v>
      </c>
      <c r="N62" s="470">
        <v>21.69</v>
      </c>
      <c r="O62" s="459">
        <v>3</v>
      </c>
      <c r="P62" s="471">
        <v>32.32</v>
      </c>
      <c r="Q62" s="468">
        <v>29.46</v>
      </c>
      <c r="R62" s="462">
        <v>3</v>
      </c>
    </row>
    <row r="63" spans="1:18" ht="14.25" hidden="1" x14ac:dyDescent="0.2">
      <c r="A63" s="465">
        <v>4.2879999999999994</v>
      </c>
      <c r="B63" s="466">
        <v>2.952</v>
      </c>
      <c r="C63" s="459">
        <v>3.1</v>
      </c>
      <c r="D63" s="471">
        <f t="shared" ref="D63:E63" si="121">(D67-D62)/5*1+D62</f>
        <v>6.7720000000000002</v>
      </c>
      <c r="E63" s="468">
        <f t="shared" si="121"/>
        <v>5.61</v>
      </c>
      <c r="F63" s="462">
        <v>3.1</v>
      </c>
      <c r="G63" s="472">
        <f t="shared" ref="G63:H63" si="122">(G67-G62)/5*1+G62</f>
        <v>26.193999999999999</v>
      </c>
      <c r="H63" s="470">
        <f t="shared" si="122"/>
        <v>9.5440000000000005</v>
      </c>
      <c r="I63" s="459">
        <v>3.1</v>
      </c>
      <c r="J63" s="471">
        <f t="shared" ref="J63:K63" si="123">(J67-J62)/5*1+J62</f>
        <v>18.718</v>
      </c>
      <c r="K63" s="468">
        <f t="shared" si="123"/>
        <v>17.681999999999999</v>
      </c>
      <c r="L63" s="462">
        <v>3.1</v>
      </c>
      <c r="M63" s="472">
        <f t="shared" ref="M63:N63" si="124">(M67-M62)/5*1+M62</f>
        <v>28.148</v>
      </c>
      <c r="N63" s="470">
        <f t="shared" si="124"/>
        <v>22.166</v>
      </c>
      <c r="O63" s="459">
        <v>3.1</v>
      </c>
      <c r="P63" s="471">
        <f t="shared" ref="P63:Q63" si="125">(P67-P62)/5*1+P62</f>
        <v>33.332000000000001</v>
      </c>
      <c r="Q63" s="468">
        <f t="shared" si="125"/>
        <v>30.194000000000003</v>
      </c>
      <c r="R63" s="462">
        <v>3.1</v>
      </c>
    </row>
    <row r="64" spans="1:18" ht="14.25" hidden="1" x14ac:dyDescent="0.2">
      <c r="A64" s="465">
        <v>4.556</v>
      </c>
      <c r="B64" s="466">
        <v>3.0140000000000002</v>
      </c>
      <c r="C64" s="459">
        <v>3.2</v>
      </c>
      <c r="D64" s="471">
        <f t="shared" ref="D64:E64" si="126">(D67-D62)/5*2+D62</f>
        <v>7.0440000000000005</v>
      </c>
      <c r="E64" s="468">
        <f t="shared" si="126"/>
        <v>5.73</v>
      </c>
      <c r="F64" s="462">
        <v>3.2</v>
      </c>
      <c r="G64" s="472">
        <f t="shared" ref="G64:H64" si="127">(G67-G62)/5*2+G62</f>
        <v>27.398</v>
      </c>
      <c r="H64" s="470">
        <f t="shared" si="127"/>
        <v>9.6880000000000006</v>
      </c>
      <c r="I64" s="459">
        <v>3.2</v>
      </c>
      <c r="J64" s="471">
        <f t="shared" ref="J64:K64" si="128">(J67-J62)/5*2+J62</f>
        <v>19.225999999999999</v>
      </c>
      <c r="K64" s="468">
        <f t="shared" si="128"/>
        <v>18.093999999999998</v>
      </c>
      <c r="L64" s="462">
        <v>3.2</v>
      </c>
      <c r="M64" s="472">
        <f t="shared" ref="M64:N64" si="129">(M67-M62)/5*2+M62</f>
        <v>29.355999999999998</v>
      </c>
      <c r="N64" s="470">
        <f t="shared" si="129"/>
        <v>22.641999999999999</v>
      </c>
      <c r="O64" s="459">
        <v>3.2</v>
      </c>
      <c r="P64" s="471">
        <f t="shared" ref="P64:Q64" si="130">(P67-P62)/5*2+P62</f>
        <v>34.344000000000001</v>
      </c>
      <c r="Q64" s="468">
        <f t="shared" si="130"/>
        <v>30.928000000000001</v>
      </c>
      <c r="R64" s="462">
        <v>3.2</v>
      </c>
    </row>
    <row r="65" spans="1:18" ht="14.25" hidden="1" x14ac:dyDescent="0.2">
      <c r="A65" s="465">
        <v>4.8239999999999998</v>
      </c>
      <c r="B65" s="466">
        <v>3.0760000000000001</v>
      </c>
      <c r="C65" s="459">
        <v>3.3</v>
      </c>
      <c r="D65" s="471">
        <f t="shared" ref="D65:E65" si="131">(D67-D62)/5*3+D62</f>
        <v>7.3160000000000007</v>
      </c>
      <c r="E65" s="468">
        <f t="shared" si="131"/>
        <v>5.85</v>
      </c>
      <c r="F65" s="462">
        <v>3.3</v>
      </c>
      <c r="G65" s="472">
        <f t="shared" ref="G65:H65" si="132">(G67-G62)/5*3+G62</f>
        <v>28.602</v>
      </c>
      <c r="H65" s="470">
        <f t="shared" si="132"/>
        <v>9.831999999999999</v>
      </c>
      <c r="I65" s="459">
        <v>3.3</v>
      </c>
      <c r="J65" s="471">
        <f t="shared" ref="J65:K65" si="133">(J67-J62)/5*3+J62</f>
        <v>19.734000000000002</v>
      </c>
      <c r="K65" s="468">
        <f t="shared" si="133"/>
        <v>18.506</v>
      </c>
      <c r="L65" s="462">
        <v>3.3</v>
      </c>
      <c r="M65" s="472">
        <f t="shared" ref="M65:N65" si="134">(M67-M62)/5*3+M62</f>
        <v>30.564</v>
      </c>
      <c r="N65" s="470">
        <f t="shared" si="134"/>
        <v>23.118000000000002</v>
      </c>
      <c r="O65" s="459">
        <v>3.3</v>
      </c>
      <c r="P65" s="471">
        <f t="shared" ref="P65:Q65" si="135">(P67-P62)/5*3+P62</f>
        <v>35.356000000000002</v>
      </c>
      <c r="Q65" s="468">
        <f t="shared" si="135"/>
        <v>31.662000000000003</v>
      </c>
      <c r="R65" s="462">
        <v>3.3</v>
      </c>
    </row>
    <row r="66" spans="1:18" ht="14.25" hidden="1" x14ac:dyDescent="0.2">
      <c r="A66" s="473">
        <v>5.0920000000000005</v>
      </c>
      <c r="B66" s="466">
        <v>3.1380000000000003</v>
      </c>
      <c r="C66" s="459">
        <v>3.4</v>
      </c>
      <c r="D66" s="471">
        <f t="shared" ref="D66:E66" si="136">(D67-D62)/5*4+D62</f>
        <v>7.5880000000000001</v>
      </c>
      <c r="E66" s="468">
        <f t="shared" si="136"/>
        <v>5.97</v>
      </c>
      <c r="F66" s="462">
        <v>3.4</v>
      </c>
      <c r="G66" s="472">
        <f t="shared" ref="G66:H66" si="137">(G67-G62)/5*4+G62</f>
        <v>29.806000000000001</v>
      </c>
      <c r="H66" s="470">
        <f t="shared" si="137"/>
        <v>9.9759999999999991</v>
      </c>
      <c r="I66" s="459">
        <v>3.4</v>
      </c>
      <c r="J66" s="471">
        <f t="shared" ref="J66:K66" si="138">(J67-J62)/5*4+J62</f>
        <v>20.242000000000001</v>
      </c>
      <c r="K66" s="468">
        <f t="shared" si="138"/>
        <v>18.917999999999999</v>
      </c>
      <c r="L66" s="462">
        <v>3.4</v>
      </c>
      <c r="M66" s="472">
        <f t="shared" ref="M66:N66" si="139">(M67-M62)/5*4+M62</f>
        <v>31.771999999999998</v>
      </c>
      <c r="N66" s="470">
        <f t="shared" si="139"/>
        <v>23.594000000000001</v>
      </c>
      <c r="O66" s="459">
        <v>3.4</v>
      </c>
      <c r="P66" s="471">
        <f t="shared" ref="P66:Q66" si="140">(P67-P62)/5*4+P62</f>
        <v>36.368000000000002</v>
      </c>
      <c r="Q66" s="468">
        <f t="shared" si="140"/>
        <v>32.396000000000001</v>
      </c>
      <c r="R66" s="462">
        <v>3.4</v>
      </c>
    </row>
    <row r="67" spans="1:18" ht="14.25" hidden="1" x14ac:dyDescent="0.2">
      <c r="A67" s="473">
        <v>5.36</v>
      </c>
      <c r="B67" s="466">
        <v>3.2</v>
      </c>
      <c r="C67" s="459">
        <v>3.5</v>
      </c>
      <c r="D67" s="471">
        <v>7.86</v>
      </c>
      <c r="E67" s="468">
        <v>6.09</v>
      </c>
      <c r="F67" s="462">
        <v>3.5</v>
      </c>
      <c r="G67" s="472">
        <v>31.01</v>
      </c>
      <c r="H67" s="470">
        <v>10.119999999999999</v>
      </c>
      <c r="I67" s="459">
        <v>3.5</v>
      </c>
      <c r="J67" s="471">
        <v>20.75</v>
      </c>
      <c r="K67" s="468">
        <v>19.329999999999998</v>
      </c>
      <c r="L67" s="462">
        <v>3.5</v>
      </c>
      <c r="M67" s="472">
        <v>32.979999999999997</v>
      </c>
      <c r="N67" s="470">
        <v>24.07</v>
      </c>
      <c r="O67" s="459">
        <v>3.5</v>
      </c>
      <c r="P67" s="471">
        <v>37.380000000000003</v>
      </c>
      <c r="Q67" s="468">
        <v>33.130000000000003</v>
      </c>
      <c r="R67" s="462">
        <v>3.5</v>
      </c>
    </row>
    <row r="68" spans="1:18" ht="14.25" hidden="1" x14ac:dyDescent="0.2">
      <c r="A68" s="473">
        <v>5.6480000000000006</v>
      </c>
      <c r="B68" s="466">
        <v>3.258</v>
      </c>
      <c r="C68" s="459">
        <v>3.6</v>
      </c>
      <c r="D68" s="471">
        <f t="shared" ref="D68:E68" si="141">(D72-D67)/5*1+D67</f>
        <v>8.2640000000000011</v>
      </c>
      <c r="E68" s="468">
        <f t="shared" si="141"/>
        <v>6.1719999999999997</v>
      </c>
      <c r="F68" s="462">
        <v>3.6</v>
      </c>
      <c r="G68" s="472">
        <f t="shared" ref="G68:H68" si="142">(G72-G67)/5*1+G67</f>
        <v>31.166</v>
      </c>
      <c r="H68" s="470">
        <f t="shared" si="142"/>
        <v>10.196</v>
      </c>
      <c r="I68" s="459">
        <v>3.6</v>
      </c>
      <c r="J68" s="471">
        <f t="shared" ref="J68:K68" si="143">(J72-J67)/5*1+J67</f>
        <v>21.202000000000002</v>
      </c>
      <c r="K68" s="468">
        <f t="shared" si="143"/>
        <v>19.663999999999998</v>
      </c>
      <c r="L68" s="462">
        <v>3.6</v>
      </c>
      <c r="M68" s="472">
        <f t="shared" ref="M68:N68" si="144">(M72-M67)/5*1+M67</f>
        <v>34.373999999999995</v>
      </c>
      <c r="N68" s="470">
        <f t="shared" si="144"/>
        <v>24.456</v>
      </c>
      <c r="O68" s="459">
        <v>3.6</v>
      </c>
      <c r="P68" s="471">
        <f t="shared" ref="P68:Q68" si="145">(P72-P67)/5*1+P67</f>
        <v>38.444000000000003</v>
      </c>
      <c r="Q68" s="468">
        <f t="shared" si="145"/>
        <v>33.768000000000001</v>
      </c>
      <c r="R68" s="462">
        <v>3.6</v>
      </c>
    </row>
    <row r="69" spans="1:18" ht="14.25" hidden="1" x14ac:dyDescent="0.2">
      <c r="A69" s="473">
        <v>5.9359999999999999</v>
      </c>
      <c r="B69" s="466">
        <v>3.3160000000000003</v>
      </c>
      <c r="C69" s="459">
        <v>3.7</v>
      </c>
      <c r="D69" s="471">
        <f t="shared" ref="D69:E69" si="146">(D72-D67)/5*2+D67</f>
        <v>8.668000000000001</v>
      </c>
      <c r="E69" s="468">
        <f t="shared" si="146"/>
        <v>6.2539999999999996</v>
      </c>
      <c r="F69" s="462">
        <v>3.7</v>
      </c>
      <c r="G69" s="472">
        <f t="shared" ref="G69:H69" si="147">(G72-G67)/5*2+G67</f>
        <v>31.321999999999999</v>
      </c>
      <c r="H69" s="470">
        <f t="shared" si="147"/>
        <v>10.272</v>
      </c>
      <c r="I69" s="459">
        <v>3.7</v>
      </c>
      <c r="J69" s="471">
        <f t="shared" ref="J69:K69" si="148">(J72-J67)/5*2+J67</f>
        <v>21.654</v>
      </c>
      <c r="K69" s="468">
        <f t="shared" si="148"/>
        <v>19.997999999999998</v>
      </c>
      <c r="L69" s="462">
        <v>3.7</v>
      </c>
      <c r="M69" s="472">
        <f t="shared" ref="M69:N69" si="149">(M72-M67)/5*2+M67</f>
        <v>35.768000000000001</v>
      </c>
      <c r="N69" s="470">
        <f t="shared" si="149"/>
        <v>24.841999999999999</v>
      </c>
      <c r="O69" s="459">
        <v>3.7</v>
      </c>
      <c r="P69" s="471">
        <f t="shared" ref="P69:Q69" si="150">(P72-P67)/5*2+P67</f>
        <v>39.508000000000003</v>
      </c>
      <c r="Q69" s="468">
        <f t="shared" si="150"/>
        <v>34.405999999999999</v>
      </c>
      <c r="R69" s="462">
        <v>3.7</v>
      </c>
    </row>
    <row r="70" spans="1:18" ht="14.25" hidden="1" x14ac:dyDescent="0.2">
      <c r="A70" s="473">
        <v>6.2240000000000002</v>
      </c>
      <c r="B70" s="466">
        <v>3.3740000000000001</v>
      </c>
      <c r="C70" s="459">
        <v>3.8</v>
      </c>
      <c r="D70" s="471">
        <f t="shared" ref="D70:E70" si="151">(D72-D67)/5*3+D67</f>
        <v>9.072000000000001</v>
      </c>
      <c r="E70" s="468">
        <f t="shared" si="151"/>
        <v>6.3360000000000003</v>
      </c>
      <c r="F70" s="462">
        <v>3.8</v>
      </c>
      <c r="G70" s="472">
        <f t="shared" ref="G70:H70" si="152">(G72-G67)/5*3+G67</f>
        <v>31.478000000000002</v>
      </c>
      <c r="H70" s="470">
        <f t="shared" si="152"/>
        <v>10.347999999999999</v>
      </c>
      <c r="I70" s="459">
        <v>3.8</v>
      </c>
      <c r="J70" s="471">
        <f t="shared" ref="J70:K70" si="153">(J72-J67)/5*3+J67</f>
        <v>22.106000000000002</v>
      </c>
      <c r="K70" s="468">
        <f t="shared" si="153"/>
        <v>20.332000000000001</v>
      </c>
      <c r="L70" s="462">
        <v>3.8</v>
      </c>
      <c r="M70" s="472">
        <f t="shared" ref="M70:N70" si="154">(M72-M67)/5*3+M67</f>
        <v>37.161999999999999</v>
      </c>
      <c r="N70" s="470">
        <f t="shared" si="154"/>
        <v>25.228000000000002</v>
      </c>
      <c r="O70" s="459">
        <v>3.8</v>
      </c>
      <c r="P70" s="471">
        <f t="shared" ref="P70:Q70" si="155">(P72-P67)/5*3+P67</f>
        <v>40.572000000000003</v>
      </c>
      <c r="Q70" s="468">
        <f t="shared" si="155"/>
        <v>35.044000000000004</v>
      </c>
      <c r="R70" s="462">
        <v>3.8</v>
      </c>
    </row>
    <row r="71" spans="1:18" ht="14.25" hidden="1" x14ac:dyDescent="0.2">
      <c r="A71" s="473">
        <v>6.5120000000000005</v>
      </c>
      <c r="B71" s="466">
        <v>3.4320000000000004</v>
      </c>
      <c r="C71" s="459">
        <v>3.9</v>
      </c>
      <c r="D71" s="471">
        <f t="shared" ref="D71:E71" si="156">(D72-D67)/5*4+D67</f>
        <v>9.4760000000000009</v>
      </c>
      <c r="E71" s="468">
        <f t="shared" si="156"/>
        <v>6.4180000000000001</v>
      </c>
      <c r="F71" s="462">
        <v>3.9</v>
      </c>
      <c r="G71" s="472">
        <f t="shared" ref="G71:H71" si="157">(G72-G67)/5*4+G67</f>
        <v>31.634</v>
      </c>
      <c r="H71" s="470">
        <f t="shared" si="157"/>
        <v>10.423999999999999</v>
      </c>
      <c r="I71" s="459">
        <v>3.9</v>
      </c>
      <c r="J71" s="471">
        <f t="shared" ref="J71:K71" si="158">(J72-J67)/5*4+J67</f>
        <v>22.558</v>
      </c>
      <c r="K71" s="468">
        <f t="shared" si="158"/>
        <v>20.666</v>
      </c>
      <c r="L71" s="462">
        <v>3.9</v>
      </c>
      <c r="M71" s="472">
        <f t="shared" ref="M71:N71" si="159">(M72-M67)/5*4+M67</f>
        <v>38.556000000000004</v>
      </c>
      <c r="N71" s="470">
        <f t="shared" si="159"/>
        <v>25.614000000000001</v>
      </c>
      <c r="O71" s="459">
        <v>3.9</v>
      </c>
      <c r="P71" s="471">
        <f t="shared" ref="P71:Q71" si="160">(P72-P67)/5*4+P67</f>
        <v>41.636000000000003</v>
      </c>
      <c r="Q71" s="468">
        <f t="shared" si="160"/>
        <v>35.682000000000002</v>
      </c>
      <c r="R71" s="462">
        <v>3.9</v>
      </c>
    </row>
    <row r="72" spans="1:18" ht="14.25" hidden="1" x14ac:dyDescent="0.2">
      <c r="A72" s="473">
        <v>6.8</v>
      </c>
      <c r="B72" s="466">
        <v>3.49</v>
      </c>
      <c r="C72" s="459">
        <v>4</v>
      </c>
      <c r="D72" s="471">
        <v>9.8800000000000008</v>
      </c>
      <c r="E72" s="468">
        <v>6.5</v>
      </c>
      <c r="F72" s="462">
        <v>4</v>
      </c>
      <c r="G72" s="472">
        <v>31.79</v>
      </c>
      <c r="H72" s="470">
        <v>10.5</v>
      </c>
      <c r="I72" s="459">
        <v>4</v>
      </c>
      <c r="J72" s="471">
        <v>23.01</v>
      </c>
      <c r="K72" s="468">
        <v>21</v>
      </c>
      <c r="L72" s="462">
        <v>4</v>
      </c>
      <c r="M72" s="472">
        <v>39.950000000000003</v>
      </c>
      <c r="N72" s="470">
        <v>26</v>
      </c>
      <c r="O72" s="459">
        <v>4</v>
      </c>
      <c r="P72" s="471">
        <v>42.7</v>
      </c>
      <c r="Q72" s="468">
        <v>36.32</v>
      </c>
      <c r="R72" s="462">
        <v>4</v>
      </c>
    </row>
    <row r="73" spans="1:18" ht="14.25" hidden="1" x14ac:dyDescent="0.2">
      <c r="A73" s="474"/>
      <c r="B73" s="458"/>
      <c r="C73" s="459"/>
      <c r="D73" s="464"/>
      <c r="E73" s="461"/>
      <c r="F73" s="462"/>
      <c r="G73" s="463"/>
      <c r="H73" s="458"/>
      <c r="I73" s="459"/>
      <c r="J73" s="464"/>
      <c r="K73" s="461"/>
      <c r="L73" s="462"/>
      <c r="M73" s="463"/>
      <c r="N73" s="458"/>
      <c r="O73" s="459"/>
      <c r="P73" s="471">
        <f t="shared" ref="P73:Q73" si="161">(P77-P72)/5*1+P72</f>
        <v>44.1</v>
      </c>
      <c r="Q73" s="468">
        <f t="shared" si="161"/>
        <v>37.055999999999997</v>
      </c>
      <c r="R73" s="462">
        <v>4.0999999999999996</v>
      </c>
    </row>
    <row r="74" spans="1:18" ht="14.25" hidden="1" x14ac:dyDescent="0.2">
      <c r="A74" s="474"/>
      <c r="B74" s="458"/>
      <c r="C74" s="459"/>
      <c r="D74" s="464"/>
      <c r="E74" s="461"/>
      <c r="F74" s="462"/>
      <c r="G74" s="463"/>
      <c r="H74" s="458"/>
      <c r="I74" s="459"/>
      <c r="J74" s="464"/>
      <c r="K74" s="461"/>
      <c r="L74" s="462"/>
      <c r="M74" s="463"/>
      <c r="N74" s="458"/>
      <c r="O74" s="459"/>
      <c r="P74" s="471">
        <f t="shared" ref="P74:Q74" si="162">(P77-P72)/5*2+P72</f>
        <v>45.5</v>
      </c>
      <c r="Q74" s="468">
        <f t="shared" si="162"/>
        <v>37.792000000000002</v>
      </c>
      <c r="R74" s="462">
        <v>4.2</v>
      </c>
    </row>
    <row r="75" spans="1:18" ht="14.25" hidden="1" x14ac:dyDescent="0.2">
      <c r="A75" s="474"/>
      <c r="B75" s="458"/>
      <c r="C75" s="459"/>
      <c r="D75" s="464"/>
      <c r="E75" s="461"/>
      <c r="F75" s="462"/>
      <c r="G75" s="463"/>
      <c r="H75" s="458"/>
      <c r="I75" s="459"/>
      <c r="J75" s="464"/>
      <c r="K75" s="461"/>
      <c r="L75" s="462"/>
      <c r="M75" s="463"/>
      <c r="N75" s="458"/>
      <c r="O75" s="459"/>
      <c r="P75" s="471">
        <f t="shared" ref="P75:Q75" si="163">(P77-P72)/5*3+P72</f>
        <v>46.900000000000006</v>
      </c>
      <c r="Q75" s="468">
        <f t="shared" si="163"/>
        <v>38.527999999999999</v>
      </c>
      <c r="R75" s="462">
        <v>4.3</v>
      </c>
    </row>
    <row r="76" spans="1:18" ht="14.25" hidden="1" x14ac:dyDescent="0.2">
      <c r="A76" s="474"/>
      <c r="B76" s="458"/>
      <c r="C76" s="459"/>
      <c r="D76" s="464"/>
      <c r="E76" s="461"/>
      <c r="F76" s="462"/>
      <c r="G76" s="463"/>
      <c r="H76" s="458"/>
      <c r="I76" s="459"/>
      <c r="J76" s="464"/>
      <c r="K76" s="461"/>
      <c r="L76" s="462"/>
      <c r="M76" s="463"/>
      <c r="N76" s="458"/>
      <c r="O76" s="459"/>
      <c r="P76" s="471">
        <f t="shared" ref="P76:Q76" si="164">(P77-P72)/5*4+P72</f>
        <v>48.300000000000004</v>
      </c>
      <c r="Q76" s="468">
        <f t="shared" si="164"/>
        <v>39.264000000000003</v>
      </c>
      <c r="R76" s="462">
        <v>4.4000000000000004</v>
      </c>
    </row>
    <row r="77" spans="1:18" ht="15" hidden="1" thickBot="1" x14ac:dyDescent="0.25">
      <c r="A77" s="475"/>
      <c r="B77" s="476"/>
      <c r="C77" s="477"/>
      <c r="D77" s="478"/>
      <c r="E77" s="479"/>
      <c r="F77" s="480"/>
      <c r="G77" s="481"/>
      <c r="H77" s="476"/>
      <c r="I77" s="477"/>
      <c r="J77" s="478"/>
      <c r="K77" s="479"/>
      <c r="L77" s="480"/>
      <c r="M77" s="481"/>
      <c r="N77" s="476"/>
      <c r="O77" s="477"/>
      <c r="P77" s="482">
        <v>49.7</v>
      </c>
      <c r="Q77" s="483">
        <v>40</v>
      </c>
      <c r="R77" s="480">
        <v>4.5</v>
      </c>
    </row>
    <row r="78" spans="1:18" hidden="1" x14ac:dyDescent="0.2"/>
    <row r="79" spans="1:18" hidden="1" x14ac:dyDescent="0.2"/>
  </sheetData>
  <sheetProtection sheet="1" objects="1" scenarios="1"/>
  <mergeCells count="36">
    <mergeCell ref="A1:I1"/>
    <mergeCell ref="A2:I2"/>
    <mergeCell ref="B21:C21"/>
    <mergeCell ref="D21:E21"/>
    <mergeCell ref="F21:G21"/>
    <mergeCell ref="H21:I21"/>
    <mergeCell ref="B22:C22"/>
    <mergeCell ref="D22:E22"/>
    <mergeCell ref="F22:G22"/>
    <mergeCell ref="H22:I22"/>
    <mergeCell ref="B23:C23"/>
    <mergeCell ref="D23:E23"/>
    <mergeCell ref="F23:G23"/>
    <mergeCell ref="H23:I23"/>
    <mergeCell ref="B24:C24"/>
    <mergeCell ref="D24:E24"/>
    <mergeCell ref="F24:G24"/>
    <mergeCell ref="H24:I24"/>
    <mergeCell ref="B25:C25"/>
    <mergeCell ref="D25:E25"/>
    <mergeCell ref="F25:G25"/>
    <mergeCell ref="H25:I25"/>
    <mergeCell ref="P30:R30"/>
    <mergeCell ref="B26:C26"/>
    <mergeCell ref="D26:E26"/>
    <mergeCell ref="F26:G26"/>
    <mergeCell ref="H26:I26"/>
    <mergeCell ref="B27:C27"/>
    <mergeCell ref="D27:E27"/>
    <mergeCell ref="F27:G27"/>
    <mergeCell ref="H27:I27"/>
    <mergeCell ref="A30:C30"/>
    <mergeCell ref="D30:F30"/>
    <mergeCell ref="G30:I30"/>
    <mergeCell ref="J30:L30"/>
    <mergeCell ref="M30:O3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CAFA-B1D7-4796-9C2C-C7261DED6089}">
  <dimension ref="A1:M228"/>
  <sheetViews>
    <sheetView workbookViewId="0">
      <selection activeCell="I230" sqref="I23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9" width="12.7109375" customWidth="1"/>
  </cols>
  <sheetData>
    <row r="1" spans="1:9" ht="21" thickTop="1" x14ac:dyDescent="0.3">
      <c r="A1" s="873" t="s">
        <v>676</v>
      </c>
      <c r="B1" s="874"/>
      <c r="C1" s="874"/>
      <c r="D1" s="874"/>
      <c r="E1" s="874"/>
      <c r="F1" s="874"/>
      <c r="G1" s="874"/>
      <c r="H1" s="874"/>
      <c r="I1" s="875"/>
    </row>
    <row r="2" spans="1:9" ht="21" thickBot="1" x14ac:dyDescent="0.35">
      <c r="A2" s="896" t="s">
        <v>729</v>
      </c>
      <c r="B2" s="897"/>
      <c r="C2" s="897"/>
      <c r="D2" s="897"/>
      <c r="E2" s="897"/>
      <c r="F2" s="897"/>
      <c r="G2" s="897"/>
      <c r="H2" s="897"/>
      <c r="I2" s="898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666</v>
      </c>
      <c r="B5" s="447"/>
      <c r="C5" s="31">
        <v>100</v>
      </c>
      <c r="D5" s="451" t="s">
        <v>451</v>
      </c>
      <c r="E5" s="447"/>
      <c r="F5" s="447"/>
      <c r="G5" s="447"/>
      <c r="H5" s="447"/>
      <c r="I5" s="449"/>
    </row>
    <row r="6" spans="1:9" x14ac:dyDescent="0.2">
      <c r="A6" s="450" t="s">
        <v>667</v>
      </c>
      <c r="B6" s="447"/>
      <c r="C6" s="31">
        <v>10</v>
      </c>
      <c r="D6" s="189" t="s">
        <v>673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674</v>
      </c>
      <c r="C8" s="691">
        <f>(C5)/((C6/100)^0.5)</f>
        <v>316.2277660168379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9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9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9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9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9" ht="38.25" customHeight="1" thickTop="1" x14ac:dyDescent="0.2">
      <c r="A21" s="9" t="s">
        <v>300</v>
      </c>
      <c r="B21" s="853" t="s">
        <v>675</v>
      </c>
      <c r="C21" s="853"/>
      <c r="D21" s="911" t="s">
        <v>51</v>
      </c>
      <c r="E21" s="912"/>
      <c r="F21" s="451"/>
      <c r="G21" s="447"/>
      <c r="H21" s="451"/>
      <c r="I21" s="449"/>
    </row>
    <row r="22" spans="1:9" x14ac:dyDescent="0.2">
      <c r="A22" s="455">
        <v>65</v>
      </c>
      <c r="B22" s="879">
        <f>A128</f>
        <v>94.6</v>
      </c>
      <c r="C22" s="879"/>
      <c r="D22" s="880" t="str">
        <f>IF($C$8&gt;B22,"NOT POSSIBLE",(VLOOKUP($C$8,A$38:M128,13)))</f>
        <v>NOT POSSIBLE</v>
      </c>
      <c r="E22" s="908"/>
      <c r="F22" s="451"/>
      <c r="G22" s="447"/>
      <c r="H22" s="451"/>
      <c r="I22" s="449"/>
    </row>
    <row r="23" spans="1:9" x14ac:dyDescent="0.2">
      <c r="A23" s="456">
        <v>80</v>
      </c>
      <c r="B23" s="895">
        <f>B128</f>
        <v>119</v>
      </c>
      <c r="C23" s="895"/>
      <c r="D23" s="880" t="str">
        <f>IF($C$8&gt;B23,"NOT POSSIBLE",(VLOOKUP($C$8,B$38:M128,12)))</f>
        <v>NOT POSSIBLE</v>
      </c>
      <c r="E23" s="908"/>
      <c r="F23" s="451"/>
      <c r="G23" s="447"/>
      <c r="H23" s="451"/>
      <c r="I23" s="449"/>
    </row>
    <row r="24" spans="1:9" x14ac:dyDescent="0.2">
      <c r="A24" s="455">
        <v>100</v>
      </c>
      <c r="B24" s="907">
        <f>C128</f>
        <v>215</v>
      </c>
      <c r="C24" s="907"/>
      <c r="D24" s="880" t="str">
        <f>IF($C$8&gt;B24,"NOT POSSIBLE",(VLOOKUP($C$8,C$38:M128,11)))</f>
        <v>NOT POSSIBLE</v>
      </c>
      <c r="E24" s="908"/>
      <c r="F24" s="451"/>
      <c r="G24" s="447"/>
      <c r="H24" s="451"/>
      <c r="I24" s="449"/>
    </row>
    <row r="25" spans="1:9" x14ac:dyDescent="0.2">
      <c r="A25" s="456">
        <v>125</v>
      </c>
      <c r="B25" s="910">
        <f>D128</f>
        <v>289</v>
      </c>
      <c r="C25" s="910"/>
      <c r="D25" s="880" t="str">
        <f>IF($C$8&gt;B25,"NOT POSSIBLE",(VLOOKUP($C$8,D$38:M128,10)))</f>
        <v>NOT POSSIBLE</v>
      </c>
      <c r="E25" s="908"/>
      <c r="F25" s="451"/>
      <c r="G25" s="447"/>
      <c r="H25" s="451"/>
      <c r="I25" s="449"/>
    </row>
    <row r="26" spans="1:9" x14ac:dyDescent="0.2">
      <c r="A26" s="455">
        <v>150</v>
      </c>
      <c r="B26" s="907">
        <f>E128</f>
        <v>403</v>
      </c>
      <c r="C26" s="907"/>
      <c r="D26" s="880">
        <f>IF($C$8&gt;B26,"NOT POSSIBLE",(VLOOKUP($C$8,E$38:M128,9)))</f>
        <v>7.4</v>
      </c>
      <c r="E26" s="908"/>
      <c r="F26" s="451"/>
      <c r="G26" s="447"/>
      <c r="H26" s="451"/>
      <c r="I26" s="449"/>
    </row>
    <row r="27" spans="1:9" x14ac:dyDescent="0.2">
      <c r="A27" s="456">
        <v>200</v>
      </c>
      <c r="B27" s="910">
        <f>F138</f>
        <v>852</v>
      </c>
      <c r="C27" s="910"/>
      <c r="D27" s="880">
        <f>IF($C$8&gt;B27,"NOT POSSIBLE",(VLOOKUP($C$8,F$38:M138,8)))</f>
        <v>4.5</v>
      </c>
      <c r="E27" s="908"/>
      <c r="F27" s="451"/>
      <c r="G27" s="447"/>
      <c r="H27" s="451"/>
      <c r="I27" s="449"/>
    </row>
    <row r="28" spans="1:9" x14ac:dyDescent="0.2">
      <c r="A28" s="455">
        <v>250</v>
      </c>
      <c r="B28" s="907">
        <f>G158</f>
        <v>1240</v>
      </c>
      <c r="C28" s="907"/>
      <c r="D28" s="880">
        <f>IF($C$8&gt;B28,"NOT POSSIBLE",(VLOOKUP($C$8,G$38:M158,7)))</f>
        <v>4.0999999999999996</v>
      </c>
      <c r="E28" s="908"/>
      <c r="F28" s="451"/>
      <c r="G28" s="447"/>
      <c r="H28" s="451"/>
      <c r="I28" s="449"/>
    </row>
    <row r="29" spans="1:9" x14ac:dyDescent="0.2">
      <c r="A29" s="456">
        <v>300</v>
      </c>
      <c r="B29" s="910">
        <f>H168</f>
        <v>1420</v>
      </c>
      <c r="C29" s="910"/>
      <c r="D29" s="880">
        <f>IF($C$8&gt;B29,"NOT POSSIBLE",(VLOOKUP($C$8,H$38:M168,6)))</f>
        <v>4.7</v>
      </c>
      <c r="E29" s="908"/>
      <c r="F29" s="451"/>
      <c r="G29" s="447"/>
      <c r="H29" s="451"/>
      <c r="I29" s="449"/>
    </row>
    <row r="30" spans="1:9" x14ac:dyDescent="0.2">
      <c r="A30" s="455">
        <v>350</v>
      </c>
      <c r="B30" s="907">
        <f>I228</f>
        <v>2085</v>
      </c>
      <c r="C30" s="907"/>
      <c r="D30" s="880">
        <f>IF($C$8&gt;B30,"NOT POSSIBLE",(VLOOKUP($C$8,I$38:M228,5)))</f>
        <v>2.1</v>
      </c>
      <c r="E30" s="908"/>
      <c r="F30" s="451"/>
      <c r="G30" s="447"/>
      <c r="H30" s="451"/>
      <c r="I30" s="449"/>
    </row>
    <row r="31" spans="1:9" x14ac:dyDescent="0.2">
      <c r="A31" s="456">
        <v>400</v>
      </c>
      <c r="B31" s="910">
        <f>J228</f>
        <v>2189</v>
      </c>
      <c r="C31" s="910"/>
      <c r="D31" s="880">
        <f>IF($C$8&gt;B31,"NOT POSSIBLE",(VLOOKUP($C$8,J$38:M228,4)))</f>
        <v>1.5</v>
      </c>
      <c r="E31" s="908"/>
      <c r="F31" s="451"/>
      <c r="G31" s="447"/>
      <c r="H31" s="451"/>
      <c r="I31" s="449"/>
    </row>
    <row r="32" spans="1:9" x14ac:dyDescent="0.2">
      <c r="A32" s="455">
        <v>450</v>
      </c>
      <c r="B32" s="907">
        <f>K228</f>
        <v>2526</v>
      </c>
      <c r="C32" s="907"/>
      <c r="D32" s="880">
        <f>IF($C$8&gt;B32,"NOT POSSIBLE",(VLOOKUP($C$8,K$38:M228,3)))</f>
        <v>1.4</v>
      </c>
      <c r="E32" s="908"/>
      <c r="F32" s="451"/>
      <c r="G32" s="447"/>
      <c r="H32" s="451"/>
      <c r="I32" s="449"/>
    </row>
    <row r="33" spans="1:13" ht="13.5" thickBot="1" x14ac:dyDescent="0.25">
      <c r="A33" s="457">
        <v>500</v>
      </c>
      <c r="B33" s="909">
        <f>L228</f>
        <v>3381</v>
      </c>
      <c r="C33" s="909"/>
      <c r="D33" s="880">
        <f>IF($C$8&gt;B33,"NOT POSSIBLE",(VLOOKUP($C$8,L$38:M228,2)))</f>
        <v>0.9</v>
      </c>
      <c r="E33" s="908"/>
      <c r="F33" s="484"/>
      <c r="G33" s="485"/>
      <c r="H33" s="484"/>
      <c r="I33" s="486"/>
    </row>
    <row r="34" spans="1:13" ht="13.5" thickTop="1" x14ac:dyDescent="0.2">
      <c r="A34" s="254"/>
      <c r="B34" s="254"/>
      <c r="D34" s="40"/>
      <c r="E34" s="40"/>
      <c r="F34" s="40"/>
    </row>
    <row r="35" spans="1:13" ht="14.25" hidden="1" thickTop="1" thickBot="1" x14ac:dyDescent="0.25">
      <c r="A35" s="810" t="s">
        <v>22</v>
      </c>
      <c r="B35" s="811"/>
      <c r="C35" s="811"/>
      <c r="D35" s="811"/>
      <c r="E35" s="811"/>
      <c r="F35" s="811"/>
      <c r="G35" s="811"/>
      <c r="H35" s="811"/>
      <c r="I35" s="811"/>
      <c r="J35" s="811"/>
      <c r="K35" s="811"/>
      <c r="L35" s="812"/>
    </row>
    <row r="36" spans="1:13" ht="13.5" hidden="1" thickTop="1" x14ac:dyDescent="0.2">
      <c r="A36" s="686" t="s">
        <v>652</v>
      </c>
      <c r="B36" s="687" t="s">
        <v>653</v>
      </c>
      <c r="C36" s="687" t="s">
        <v>654</v>
      </c>
      <c r="D36" s="687" t="s">
        <v>655</v>
      </c>
      <c r="E36" s="687" t="s">
        <v>656</v>
      </c>
      <c r="F36" s="687" t="s">
        <v>657</v>
      </c>
      <c r="G36" s="687" t="s">
        <v>658</v>
      </c>
      <c r="H36" s="687" t="s">
        <v>659</v>
      </c>
      <c r="I36" s="687" t="s">
        <v>660</v>
      </c>
      <c r="J36" s="687" t="s">
        <v>661</v>
      </c>
      <c r="K36" s="687" t="s">
        <v>662</v>
      </c>
      <c r="L36" s="692" t="s">
        <v>663</v>
      </c>
      <c r="M36" s="905" t="s">
        <v>678</v>
      </c>
    </row>
    <row r="37" spans="1:13" hidden="1" x14ac:dyDescent="0.2">
      <c r="A37" s="682" t="s">
        <v>664</v>
      </c>
      <c r="B37" s="683" t="s">
        <v>664</v>
      </c>
      <c r="C37" s="683" t="s">
        <v>664</v>
      </c>
      <c r="D37" s="683" t="s">
        <v>664</v>
      </c>
      <c r="E37" s="683" t="s">
        <v>664</v>
      </c>
      <c r="F37" s="683" t="s">
        <v>664</v>
      </c>
      <c r="G37" s="683" t="s">
        <v>664</v>
      </c>
      <c r="H37" s="683" t="s">
        <v>664</v>
      </c>
      <c r="I37" s="688" t="s">
        <v>664</v>
      </c>
      <c r="J37" s="688" t="s">
        <v>664</v>
      </c>
      <c r="K37" s="688" t="s">
        <v>664</v>
      </c>
      <c r="L37" s="693" t="s">
        <v>664</v>
      </c>
      <c r="M37" s="906"/>
    </row>
    <row r="38" spans="1:13" hidden="1" x14ac:dyDescent="0.2">
      <c r="A38" s="698">
        <v>0</v>
      </c>
      <c r="B38" s="689">
        <v>0</v>
      </c>
      <c r="C38" s="689">
        <v>0</v>
      </c>
      <c r="D38" s="689">
        <v>0</v>
      </c>
      <c r="E38" s="689">
        <v>0</v>
      </c>
      <c r="F38" s="689">
        <v>0</v>
      </c>
      <c r="G38" s="689">
        <v>0</v>
      </c>
      <c r="H38" s="689">
        <v>0</v>
      </c>
      <c r="I38" s="689">
        <v>0</v>
      </c>
      <c r="J38" s="689">
        <v>0</v>
      </c>
      <c r="K38" s="689">
        <v>0</v>
      </c>
      <c r="L38" s="694">
        <v>0</v>
      </c>
      <c r="M38" s="696">
        <v>0</v>
      </c>
    </row>
    <row r="39" spans="1:13" hidden="1" x14ac:dyDescent="0.2">
      <c r="A39" s="698">
        <f t="shared" ref="A39:G39" si="0">(A48-A38)/10*1+A38</f>
        <v>0.3</v>
      </c>
      <c r="B39" s="689">
        <f t="shared" si="0"/>
        <v>0.57000000000000006</v>
      </c>
      <c r="C39" s="689">
        <f t="shared" si="0"/>
        <v>0.9</v>
      </c>
      <c r="D39" s="689">
        <f t="shared" si="0"/>
        <v>0.97</v>
      </c>
      <c r="E39" s="689">
        <f t="shared" si="0"/>
        <v>1.41</v>
      </c>
      <c r="F39" s="699">
        <f t="shared" si="0"/>
        <v>4.84</v>
      </c>
      <c r="G39" s="699">
        <f t="shared" si="0"/>
        <v>6.99</v>
      </c>
      <c r="H39" s="699">
        <f>(H43-H38)/5*1+H38</f>
        <v>9.36</v>
      </c>
      <c r="I39" s="689">
        <f>(I48-I38)/10*1+I38</f>
        <v>16.899071525688534</v>
      </c>
      <c r="J39" s="689">
        <f>(J48-J38)/10*1+J38</f>
        <v>23.240399918633194</v>
      </c>
      <c r="K39" s="689">
        <f>(K48-K38)/10*1+K38</f>
        <v>25.453626361333242</v>
      </c>
      <c r="L39" s="694">
        <f>(L48-L38)/10*1+L38</f>
        <v>32.157766276148379</v>
      </c>
      <c r="M39" s="696">
        <v>0.1</v>
      </c>
    </row>
    <row r="40" spans="1:13" hidden="1" x14ac:dyDescent="0.2">
      <c r="A40" s="698">
        <f t="shared" ref="A40:G40" si="1">(A48-A38)/10*2+A38</f>
        <v>0.6</v>
      </c>
      <c r="B40" s="689">
        <f t="shared" si="1"/>
        <v>1.1400000000000001</v>
      </c>
      <c r="C40" s="689">
        <f t="shared" si="1"/>
        <v>1.8</v>
      </c>
      <c r="D40" s="689">
        <f t="shared" si="1"/>
        <v>1.94</v>
      </c>
      <c r="E40" s="699">
        <f t="shared" si="1"/>
        <v>2.82</v>
      </c>
      <c r="F40" s="699">
        <f t="shared" si="1"/>
        <v>9.68</v>
      </c>
      <c r="G40" s="699">
        <f t="shared" si="1"/>
        <v>13.98</v>
      </c>
      <c r="H40" s="699">
        <f>(H43-H38)/5*2+H38</f>
        <v>18.72</v>
      </c>
      <c r="I40" s="689">
        <f>(I48-I38)/10*2+I38</f>
        <v>33.798143051377068</v>
      </c>
      <c r="J40" s="689">
        <f>(J48-J38)/10*2+J38</f>
        <v>46.480799837266389</v>
      </c>
      <c r="K40" s="689">
        <f>(K48-K38)/10*2+K38</f>
        <v>50.907252722666485</v>
      </c>
      <c r="L40" s="694">
        <f>(L48-L38)/10*2+L38</f>
        <v>64.315532552296759</v>
      </c>
      <c r="M40" s="696">
        <v>0.2</v>
      </c>
    </row>
    <row r="41" spans="1:13" hidden="1" x14ac:dyDescent="0.2">
      <c r="A41" s="698">
        <f t="shared" ref="A41:G41" si="2">(A48-A38)/10*3+A38</f>
        <v>0.89999999999999991</v>
      </c>
      <c r="B41" s="689">
        <f t="shared" si="2"/>
        <v>1.7100000000000002</v>
      </c>
      <c r="C41" s="689">
        <f t="shared" si="2"/>
        <v>2.7</v>
      </c>
      <c r="D41" s="689">
        <f t="shared" si="2"/>
        <v>2.91</v>
      </c>
      <c r="E41" s="699">
        <f t="shared" si="2"/>
        <v>4.2299999999999995</v>
      </c>
      <c r="F41" s="699">
        <f t="shared" si="2"/>
        <v>14.52</v>
      </c>
      <c r="G41" s="699">
        <f t="shared" si="2"/>
        <v>20.97</v>
      </c>
      <c r="H41" s="699">
        <f>(H43-H38)/5*3+H38</f>
        <v>28.08</v>
      </c>
      <c r="I41" s="689">
        <f>(I48-I38)/10*3+I38</f>
        <v>50.697214577065601</v>
      </c>
      <c r="J41" s="689">
        <f>(J48-J38)/10*3+J38</f>
        <v>69.72119975589959</v>
      </c>
      <c r="K41" s="689">
        <f>(K48-K38)/10*3+K38</f>
        <v>76.36087908399972</v>
      </c>
      <c r="L41" s="694">
        <f>(L48-L38)/10*3+L38</f>
        <v>96.473298828445138</v>
      </c>
      <c r="M41" s="696">
        <v>0.3</v>
      </c>
    </row>
    <row r="42" spans="1:13" hidden="1" x14ac:dyDescent="0.2">
      <c r="A42" s="698">
        <f t="shared" ref="A42:G42" si="3">(A48-A38)/10*4+A38</f>
        <v>1.2</v>
      </c>
      <c r="B42" s="689">
        <f t="shared" si="3"/>
        <v>2.2800000000000002</v>
      </c>
      <c r="C42" s="689">
        <f t="shared" si="3"/>
        <v>3.6</v>
      </c>
      <c r="D42" s="689">
        <f t="shared" si="3"/>
        <v>3.88</v>
      </c>
      <c r="E42" s="699">
        <f t="shared" si="3"/>
        <v>5.64</v>
      </c>
      <c r="F42" s="699">
        <f t="shared" si="3"/>
        <v>19.36</v>
      </c>
      <c r="G42" s="699">
        <f t="shared" si="3"/>
        <v>27.96</v>
      </c>
      <c r="H42" s="699">
        <f>(H43-H38)/5*4+H38</f>
        <v>37.44</v>
      </c>
      <c r="I42" s="689">
        <f>(I48-I38)/10*4+I38</f>
        <v>67.596286102754135</v>
      </c>
      <c r="J42" s="689">
        <f>(J48-J38)/10*4+J38</f>
        <v>92.961599674532778</v>
      </c>
      <c r="K42" s="689">
        <f>(K48-K38)/10*4+K38</f>
        <v>101.81450544533297</v>
      </c>
      <c r="L42" s="694">
        <f>(L48-L38)/10*4+L38</f>
        <v>128.63106510459352</v>
      </c>
      <c r="M42" s="696">
        <v>0.4</v>
      </c>
    </row>
    <row r="43" spans="1:13" hidden="1" x14ac:dyDescent="0.2">
      <c r="A43" s="698">
        <f t="shared" ref="A43:G43" si="4">(A48-A38)/10*5+A38</f>
        <v>1.5</v>
      </c>
      <c r="B43" s="689">
        <f t="shared" si="4"/>
        <v>2.8500000000000005</v>
      </c>
      <c r="C43" s="689">
        <f t="shared" si="4"/>
        <v>4.5</v>
      </c>
      <c r="D43" s="689">
        <f t="shared" si="4"/>
        <v>4.8499999999999996</v>
      </c>
      <c r="E43" s="699">
        <f t="shared" si="4"/>
        <v>7.05</v>
      </c>
      <c r="F43" s="699">
        <f t="shared" si="4"/>
        <v>24.2</v>
      </c>
      <c r="G43" s="699">
        <f t="shared" si="4"/>
        <v>34.950000000000003</v>
      </c>
      <c r="H43" s="699">
        <v>46.8</v>
      </c>
      <c r="I43" s="689">
        <f>(I48-I38)/10*5+I38</f>
        <v>84.495357628442662</v>
      </c>
      <c r="J43" s="689">
        <f>(J48-J38)/10*5+J38</f>
        <v>116.20199959316597</v>
      </c>
      <c r="K43" s="689">
        <f>(K48-K38)/10*5+K38</f>
        <v>127.26813180666622</v>
      </c>
      <c r="L43" s="694">
        <f>(L48-L38)/10*5+L38</f>
        <v>160.7888313807419</v>
      </c>
      <c r="M43" s="696">
        <v>0.5</v>
      </c>
    </row>
    <row r="44" spans="1:13" hidden="1" x14ac:dyDescent="0.2">
      <c r="A44" s="698">
        <f t="shared" ref="A44:G44" si="5">(A48-A38)/10*6+A38</f>
        <v>1.7999999999999998</v>
      </c>
      <c r="B44" s="689">
        <f t="shared" si="5"/>
        <v>3.4200000000000004</v>
      </c>
      <c r="C44" s="689">
        <f t="shared" si="5"/>
        <v>5.4</v>
      </c>
      <c r="D44" s="689">
        <f t="shared" si="5"/>
        <v>5.82</v>
      </c>
      <c r="E44" s="699">
        <f t="shared" si="5"/>
        <v>8.4599999999999991</v>
      </c>
      <c r="F44" s="699">
        <f t="shared" si="5"/>
        <v>29.04</v>
      </c>
      <c r="G44" s="699">
        <f t="shared" si="5"/>
        <v>41.94</v>
      </c>
      <c r="H44" s="699">
        <f>(H48-H43)/5*1+H43</f>
        <v>49.059999999999995</v>
      </c>
      <c r="I44" s="689">
        <f>(I48-I38)/10*6+I38</f>
        <v>101.3944291541312</v>
      </c>
      <c r="J44" s="689">
        <f>(J48-J38)/10*6+J38</f>
        <v>139.44239951179918</v>
      </c>
      <c r="K44" s="689">
        <f>(K48-K38)/10*6+K38</f>
        <v>152.72175816799944</v>
      </c>
      <c r="L44" s="694">
        <f>(L48-L38)/10*6+L38</f>
        <v>192.94659765689028</v>
      </c>
      <c r="M44" s="696">
        <v>0.6</v>
      </c>
    </row>
    <row r="45" spans="1:13" hidden="1" x14ac:dyDescent="0.2">
      <c r="A45" s="698">
        <f t="shared" ref="A45:G45" si="6">(A48-A38)/10*7+A38</f>
        <v>2.1</v>
      </c>
      <c r="B45" s="689">
        <f t="shared" si="6"/>
        <v>3.99</v>
      </c>
      <c r="C45" s="689">
        <f t="shared" si="6"/>
        <v>6.3</v>
      </c>
      <c r="D45" s="689">
        <f t="shared" si="6"/>
        <v>6.79</v>
      </c>
      <c r="E45" s="699">
        <f t="shared" si="6"/>
        <v>9.8699999999999992</v>
      </c>
      <c r="F45" s="699">
        <f t="shared" si="6"/>
        <v>33.879999999999995</v>
      </c>
      <c r="G45" s="699">
        <f t="shared" si="6"/>
        <v>48.93</v>
      </c>
      <c r="H45" s="699">
        <f>(H48-H43)/5*2+H43</f>
        <v>51.32</v>
      </c>
      <c r="I45" s="689">
        <f>(I48-I38)/10*7+I38</f>
        <v>118.29350067981974</v>
      </c>
      <c r="J45" s="689">
        <f>(J48-J38)/10*7+J38</f>
        <v>162.68279943043237</v>
      </c>
      <c r="K45" s="689">
        <f>(K48-K38)/10*7+K38</f>
        <v>178.17538452933269</v>
      </c>
      <c r="L45" s="694">
        <f>(L48-L38)/10*7+L38</f>
        <v>225.10436393303866</v>
      </c>
      <c r="M45" s="696">
        <v>0.7</v>
      </c>
    </row>
    <row r="46" spans="1:13" hidden="1" x14ac:dyDescent="0.2">
      <c r="A46" s="698">
        <f t="shared" ref="A46:G46" si="7">(A48-A38)/10*8+A38</f>
        <v>2.4</v>
      </c>
      <c r="B46" s="689">
        <f t="shared" si="7"/>
        <v>4.5600000000000005</v>
      </c>
      <c r="C46" s="689">
        <f t="shared" si="7"/>
        <v>7.2</v>
      </c>
      <c r="D46" s="689">
        <f t="shared" si="7"/>
        <v>7.76</v>
      </c>
      <c r="E46" s="699">
        <f t="shared" si="7"/>
        <v>11.28</v>
      </c>
      <c r="F46" s="699">
        <f t="shared" si="7"/>
        <v>38.72</v>
      </c>
      <c r="G46" s="699">
        <f t="shared" si="7"/>
        <v>55.92</v>
      </c>
      <c r="H46" s="699">
        <f>(H48-H43)/5*3+H43</f>
        <v>53.58</v>
      </c>
      <c r="I46" s="689">
        <f>(I48-I38)/10*8+I38</f>
        <v>135.19257220550827</v>
      </c>
      <c r="J46" s="689">
        <f>(J48-J38)/10*8+J38</f>
        <v>185.92319934906556</v>
      </c>
      <c r="K46" s="689">
        <f>(K48-K38)/10*8+K38</f>
        <v>203.62901089066594</v>
      </c>
      <c r="L46" s="694">
        <f>(L48-L38)/10*8+L38</f>
        <v>257.26213020918703</v>
      </c>
      <c r="M46" s="696">
        <v>0.8</v>
      </c>
    </row>
    <row r="47" spans="1:13" hidden="1" x14ac:dyDescent="0.2">
      <c r="A47" s="698">
        <f t="shared" ref="A47:G47" si="8">(A48-A38)/10*9+A38</f>
        <v>2.6999999999999997</v>
      </c>
      <c r="B47" s="689">
        <f t="shared" si="8"/>
        <v>5.1300000000000008</v>
      </c>
      <c r="C47" s="689">
        <f t="shared" si="8"/>
        <v>8.1</v>
      </c>
      <c r="D47" s="689">
        <f t="shared" si="8"/>
        <v>8.73</v>
      </c>
      <c r="E47" s="699">
        <f t="shared" si="8"/>
        <v>12.69</v>
      </c>
      <c r="F47" s="699">
        <f t="shared" si="8"/>
        <v>43.56</v>
      </c>
      <c r="G47" s="699">
        <f t="shared" si="8"/>
        <v>62.910000000000004</v>
      </c>
      <c r="H47" s="699">
        <f>(H48-H43)/5*4+H43</f>
        <v>55.84</v>
      </c>
      <c r="I47" s="689">
        <f>(I48-I38)/10*9+I38</f>
        <v>152.0916437311968</v>
      </c>
      <c r="J47" s="689">
        <f>(J48-J38)/10*9+J38</f>
        <v>209.16359926769874</v>
      </c>
      <c r="K47" s="689">
        <f>(K48-K38)/10*9+K38</f>
        <v>229.08263725199919</v>
      </c>
      <c r="L47" s="694">
        <f>(L48-L38)/10*9+L38</f>
        <v>289.41989648533541</v>
      </c>
      <c r="M47" s="696">
        <v>0.9</v>
      </c>
    </row>
    <row r="48" spans="1:13" ht="15" hidden="1" x14ac:dyDescent="0.25">
      <c r="A48" s="698">
        <v>3</v>
      </c>
      <c r="B48" s="700">
        <v>5.7</v>
      </c>
      <c r="C48" s="701">
        <v>9</v>
      </c>
      <c r="D48" s="701">
        <v>9.6999999999999993</v>
      </c>
      <c r="E48" s="702">
        <v>14.1</v>
      </c>
      <c r="F48" s="699">
        <v>48.4</v>
      </c>
      <c r="G48" s="703">
        <v>69.900000000000006</v>
      </c>
      <c r="H48" s="699">
        <v>58.1</v>
      </c>
      <c r="I48" s="689">
        <v>168.99071525688535</v>
      </c>
      <c r="J48" s="689">
        <v>232.40399918633193</v>
      </c>
      <c r="K48" s="689">
        <v>254.53626361333244</v>
      </c>
      <c r="L48" s="694">
        <v>321.57766276148379</v>
      </c>
      <c r="M48" s="696">
        <v>1</v>
      </c>
    </row>
    <row r="49" spans="1:13" hidden="1" x14ac:dyDescent="0.2">
      <c r="A49" s="698">
        <f t="shared" ref="A49:H49" si="9">(A58-A48)/10*1+A48</f>
        <v>3.62</v>
      </c>
      <c r="B49" s="689">
        <f t="shared" si="9"/>
        <v>6.1400000000000006</v>
      </c>
      <c r="C49" s="699">
        <f t="shared" si="9"/>
        <v>10.28</v>
      </c>
      <c r="D49" s="699">
        <f t="shared" si="9"/>
        <v>10.92</v>
      </c>
      <c r="E49" s="699">
        <f t="shared" si="9"/>
        <v>16.989999999999998</v>
      </c>
      <c r="F49" s="699">
        <f t="shared" si="9"/>
        <v>54.96</v>
      </c>
      <c r="G49" s="699">
        <f t="shared" si="9"/>
        <v>78.410000000000011</v>
      </c>
      <c r="H49" s="699">
        <f t="shared" si="9"/>
        <v>65.990000000000009</v>
      </c>
      <c r="I49" s="689">
        <f>(I58-I48)/10*1+I48</f>
        <v>181.89494603821541</v>
      </c>
      <c r="J49" s="689">
        <f>(J58-J48)/10*1+J48</f>
        <v>247.53871798920323</v>
      </c>
      <c r="K49" s="689">
        <f>(K58-K48)/10*1+K48</f>
        <v>269.2989202128702</v>
      </c>
      <c r="L49" s="694">
        <f>(L58-L48)/10*1+L48</f>
        <v>345.9495368534138</v>
      </c>
      <c r="M49" s="696">
        <v>1.1000000000000001</v>
      </c>
    </row>
    <row r="50" spans="1:13" hidden="1" x14ac:dyDescent="0.2">
      <c r="A50" s="698">
        <f t="shared" ref="A50:H50" si="10">(A58-A48)/10*2+A48</f>
        <v>4.24</v>
      </c>
      <c r="B50" s="689">
        <f t="shared" si="10"/>
        <v>6.58</v>
      </c>
      <c r="C50" s="699">
        <f t="shared" si="10"/>
        <v>11.56</v>
      </c>
      <c r="D50" s="699">
        <f t="shared" si="10"/>
        <v>12.139999999999999</v>
      </c>
      <c r="E50" s="699">
        <f t="shared" si="10"/>
        <v>19.88</v>
      </c>
      <c r="F50" s="699">
        <f t="shared" si="10"/>
        <v>61.519999999999996</v>
      </c>
      <c r="G50" s="699">
        <f t="shared" si="10"/>
        <v>86.92</v>
      </c>
      <c r="H50" s="699">
        <f t="shared" si="10"/>
        <v>73.88</v>
      </c>
      <c r="I50" s="689">
        <f>(I58-I48)/10*2+I48</f>
        <v>194.79917681954547</v>
      </c>
      <c r="J50" s="689">
        <f>(J58-J48)/10*2+J48</f>
        <v>262.67343679207454</v>
      </c>
      <c r="K50" s="689">
        <f>(K58-K48)/10*2+K48</f>
        <v>284.06157681240791</v>
      </c>
      <c r="L50" s="694">
        <f>(L58-L48)/10*2+L48</f>
        <v>370.32141094534381</v>
      </c>
      <c r="M50" s="696">
        <v>1.2</v>
      </c>
    </row>
    <row r="51" spans="1:13" hidden="1" x14ac:dyDescent="0.2">
      <c r="A51" s="698">
        <f t="shared" ref="A51:H51" si="11">(A58-A48)/10*3+A48</f>
        <v>4.8599999999999994</v>
      </c>
      <c r="B51" s="689">
        <f t="shared" si="11"/>
        <v>7.02</v>
      </c>
      <c r="C51" s="699">
        <f t="shared" si="11"/>
        <v>12.84</v>
      </c>
      <c r="D51" s="699">
        <f t="shared" si="11"/>
        <v>13.36</v>
      </c>
      <c r="E51" s="699">
        <f t="shared" si="11"/>
        <v>22.769999999999996</v>
      </c>
      <c r="F51" s="699">
        <f t="shared" si="11"/>
        <v>68.08</v>
      </c>
      <c r="G51" s="699">
        <f t="shared" si="11"/>
        <v>95.43</v>
      </c>
      <c r="H51" s="699">
        <f t="shared" si="11"/>
        <v>81.77000000000001</v>
      </c>
      <c r="I51" s="689">
        <f>(I58-I48)/10*3+I48</f>
        <v>207.70340760087555</v>
      </c>
      <c r="J51" s="689">
        <f>(J58-J48)/10*3+J48</f>
        <v>277.80815559494584</v>
      </c>
      <c r="K51" s="689">
        <f>(K58-K48)/10*3+K48</f>
        <v>298.82423341194567</v>
      </c>
      <c r="L51" s="694">
        <f>(L58-L48)/10*3+L48</f>
        <v>394.69328503727388</v>
      </c>
      <c r="M51" s="696">
        <v>1.3</v>
      </c>
    </row>
    <row r="52" spans="1:13" hidden="1" x14ac:dyDescent="0.2">
      <c r="A52" s="698">
        <f t="shared" ref="A52:H52" si="12">(A58-A48)/10*4+A48</f>
        <v>5.4799999999999995</v>
      </c>
      <c r="B52" s="689">
        <f t="shared" si="12"/>
        <v>7.46</v>
      </c>
      <c r="C52" s="699">
        <f t="shared" si="12"/>
        <v>14.120000000000001</v>
      </c>
      <c r="D52" s="699">
        <f t="shared" si="12"/>
        <v>14.579999999999998</v>
      </c>
      <c r="E52" s="699">
        <f t="shared" si="12"/>
        <v>25.659999999999997</v>
      </c>
      <c r="F52" s="699">
        <f t="shared" si="12"/>
        <v>74.64</v>
      </c>
      <c r="G52" s="704">
        <f t="shared" si="12"/>
        <v>103.94</v>
      </c>
      <c r="H52" s="699">
        <f t="shared" si="12"/>
        <v>89.66</v>
      </c>
      <c r="I52" s="689">
        <f>(I58-I48)/10*4+I48</f>
        <v>220.60763838220561</v>
      </c>
      <c r="J52" s="689">
        <f>(J58-J48)/10*4+J48</f>
        <v>292.94287439781715</v>
      </c>
      <c r="K52" s="689">
        <f>(K58-K48)/10*4+K48</f>
        <v>313.58689001148343</v>
      </c>
      <c r="L52" s="694">
        <f>(L58-L48)/10*4+L48</f>
        <v>419.06515912920389</v>
      </c>
      <c r="M52" s="696">
        <v>1.4</v>
      </c>
    </row>
    <row r="53" spans="1:13" hidden="1" x14ac:dyDescent="0.2">
      <c r="A53" s="698">
        <f t="shared" ref="A53:H53" si="13">(A58-A48)/10*5+A48</f>
        <v>6.1</v>
      </c>
      <c r="B53" s="689">
        <f t="shared" si="13"/>
        <v>7.9</v>
      </c>
      <c r="C53" s="699">
        <f t="shared" si="13"/>
        <v>15.4</v>
      </c>
      <c r="D53" s="699">
        <f t="shared" si="13"/>
        <v>15.799999999999999</v>
      </c>
      <c r="E53" s="699">
        <f t="shared" si="13"/>
        <v>28.549999999999997</v>
      </c>
      <c r="F53" s="699">
        <f t="shared" si="13"/>
        <v>81.199999999999989</v>
      </c>
      <c r="G53" s="704">
        <f t="shared" si="13"/>
        <v>112.45</v>
      </c>
      <c r="H53" s="699">
        <f t="shared" si="13"/>
        <v>97.550000000000011</v>
      </c>
      <c r="I53" s="689">
        <f>(I58-I48)/10*5+I48</f>
        <v>233.51186916353566</v>
      </c>
      <c r="J53" s="689">
        <f>(J58-J48)/10*5+J48</f>
        <v>308.0775932006884</v>
      </c>
      <c r="K53" s="689">
        <f>(K58-K48)/10*5+K48</f>
        <v>328.3495466110212</v>
      </c>
      <c r="L53" s="694">
        <f>(L58-L48)/10*5+L48</f>
        <v>443.4370332211339</v>
      </c>
      <c r="M53" s="696">
        <v>1.5</v>
      </c>
    </row>
    <row r="54" spans="1:13" hidden="1" x14ac:dyDescent="0.2">
      <c r="A54" s="698">
        <f t="shared" ref="A54:H54" si="14">(A58-A48)/10*6+A48</f>
        <v>6.7199999999999989</v>
      </c>
      <c r="B54" s="689">
        <f t="shared" si="14"/>
        <v>8.34</v>
      </c>
      <c r="C54" s="699">
        <f t="shared" si="14"/>
        <v>16.68</v>
      </c>
      <c r="D54" s="699">
        <f t="shared" si="14"/>
        <v>17.02</v>
      </c>
      <c r="E54" s="699">
        <f t="shared" si="14"/>
        <v>31.439999999999998</v>
      </c>
      <c r="F54" s="699">
        <f t="shared" si="14"/>
        <v>87.759999999999991</v>
      </c>
      <c r="G54" s="704">
        <f t="shared" si="14"/>
        <v>120.96000000000001</v>
      </c>
      <c r="H54" s="704">
        <f t="shared" si="14"/>
        <v>105.44</v>
      </c>
      <c r="I54" s="689">
        <f>(I58-I48)/10*6+I48</f>
        <v>246.41609994486572</v>
      </c>
      <c r="J54" s="689">
        <f>(J58-J48)/10*6+J48</f>
        <v>323.21231200355976</v>
      </c>
      <c r="K54" s="689">
        <f>(K58-K48)/10*6+K48</f>
        <v>343.1122032105589</v>
      </c>
      <c r="L54" s="694">
        <f>(L58-L48)/10*6+L48</f>
        <v>467.80890731306391</v>
      </c>
      <c r="M54" s="696">
        <v>1.6</v>
      </c>
    </row>
    <row r="55" spans="1:13" hidden="1" x14ac:dyDescent="0.2">
      <c r="A55" s="698">
        <f t="shared" ref="A55:H55" si="15">(A58-A48)/10*7+A48</f>
        <v>7.339999999999999</v>
      </c>
      <c r="B55" s="689">
        <f t="shared" si="15"/>
        <v>8.7799999999999994</v>
      </c>
      <c r="C55" s="699">
        <f t="shared" si="15"/>
        <v>17.96</v>
      </c>
      <c r="D55" s="699">
        <f t="shared" si="15"/>
        <v>18.239999999999998</v>
      </c>
      <c r="E55" s="699">
        <f t="shared" si="15"/>
        <v>34.33</v>
      </c>
      <c r="F55" s="699">
        <f t="shared" si="15"/>
        <v>94.32</v>
      </c>
      <c r="G55" s="704">
        <f t="shared" si="15"/>
        <v>129.47</v>
      </c>
      <c r="H55" s="704">
        <f t="shared" si="15"/>
        <v>113.33000000000001</v>
      </c>
      <c r="I55" s="689">
        <f>(I58-I48)/10*7+I48</f>
        <v>259.32033072619578</v>
      </c>
      <c r="J55" s="689">
        <f>(J58-J48)/10*7+J48</f>
        <v>338.34703080643101</v>
      </c>
      <c r="K55" s="689">
        <f>(K58-K48)/10*7+K48</f>
        <v>357.87485981009667</v>
      </c>
      <c r="L55" s="694">
        <f>(L58-L48)/10*7+L48</f>
        <v>492.18078140499392</v>
      </c>
      <c r="M55" s="696">
        <v>1.7</v>
      </c>
    </row>
    <row r="56" spans="1:13" hidden="1" x14ac:dyDescent="0.2">
      <c r="A56" s="698">
        <f t="shared" ref="A56:H56" si="16">(A58-A48)/10*8+A48</f>
        <v>7.9599999999999991</v>
      </c>
      <c r="B56" s="689">
        <f t="shared" si="16"/>
        <v>9.2199999999999989</v>
      </c>
      <c r="C56" s="699">
        <f t="shared" si="16"/>
        <v>19.240000000000002</v>
      </c>
      <c r="D56" s="699">
        <f t="shared" si="16"/>
        <v>19.46</v>
      </c>
      <c r="E56" s="699">
        <f t="shared" si="16"/>
        <v>37.22</v>
      </c>
      <c r="F56" s="704">
        <f t="shared" si="16"/>
        <v>100.88</v>
      </c>
      <c r="G56" s="704">
        <f t="shared" si="16"/>
        <v>137.98000000000002</v>
      </c>
      <c r="H56" s="704">
        <f t="shared" si="16"/>
        <v>121.22</v>
      </c>
      <c r="I56" s="689">
        <f>(I58-I48)/10*8+I48</f>
        <v>272.22456150752583</v>
      </c>
      <c r="J56" s="689">
        <f>(J58-J48)/10*8+J48</f>
        <v>353.48174960930231</v>
      </c>
      <c r="K56" s="689">
        <f>(K58-K48)/10*8+K48</f>
        <v>372.63751640963437</v>
      </c>
      <c r="L56" s="694">
        <f>(L58-L48)/10*8+L48</f>
        <v>516.55265549692399</v>
      </c>
      <c r="M56" s="696">
        <v>1.8</v>
      </c>
    </row>
    <row r="57" spans="1:13" hidden="1" x14ac:dyDescent="0.2">
      <c r="A57" s="698">
        <f t="shared" ref="A57:H57" si="17">(A58-A48)/10*9+A48</f>
        <v>8.5799999999999983</v>
      </c>
      <c r="B57" s="689">
        <f t="shared" si="17"/>
        <v>9.66</v>
      </c>
      <c r="C57" s="699">
        <f t="shared" si="17"/>
        <v>20.52</v>
      </c>
      <c r="D57" s="699">
        <f t="shared" si="17"/>
        <v>20.68</v>
      </c>
      <c r="E57" s="699">
        <f t="shared" si="17"/>
        <v>40.11</v>
      </c>
      <c r="F57" s="704">
        <f t="shared" si="17"/>
        <v>107.44</v>
      </c>
      <c r="G57" s="704">
        <f t="shared" si="17"/>
        <v>146.49</v>
      </c>
      <c r="H57" s="704">
        <f t="shared" si="17"/>
        <v>129.11000000000001</v>
      </c>
      <c r="I57" s="689">
        <f>(I58-I48)/10*9+I48</f>
        <v>285.12879228885589</v>
      </c>
      <c r="J57" s="689">
        <f>(J58-J48)/10*9+J48</f>
        <v>368.61646841217362</v>
      </c>
      <c r="K57" s="689">
        <f>(K58-K48)/10*9+K48</f>
        <v>387.40017300917214</v>
      </c>
      <c r="L57" s="694">
        <f>(L58-L48)/10*9+L48</f>
        <v>540.92452958885394</v>
      </c>
      <c r="M57" s="696">
        <v>1.9</v>
      </c>
    </row>
    <row r="58" spans="1:13" ht="15" hidden="1" x14ac:dyDescent="0.25">
      <c r="A58" s="698">
        <v>9.1999999999999993</v>
      </c>
      <c r="B58" s="705">
        <v>10.1</v>
      </c>
      <c r="C58" s="702">
        <v>21.8</v>
      </c>
      <c r="D58" s="702">
        <v>21.9</v>
      </c>
      <c r="E58" s="702">
        <v>43</v>
      </c>
      <c r="F58" s="704">
        <v>114</v>
      </c>
      <c r="G58" s="706">
        <v>155</v>
      </c>
      <c r="H58" s="704">
        <v>137</v>
      </c>
      <c r="I58" s="689">
        <v>298.03302307018595</v>
      </c>
      <c r="J58" s="689">
        <v>383.75118721504492</v>
      </c>
      <c r="K58" s="689">
        <v>402.1628296087099</v>
      </c>
      <c r="L58" s="694">
        <v>565.29640368078401</v>
      </c>
      <c r="M58" s="696">
        <v>2</v>
      </c>
    </row>
    <row r="59" spans="1:13" hidden="1" x14ac:dyDescent="0.2">
      <c r="A59" s="707">
        <f t="shared" ref="A59:H59" si="18">(A68-A58)/10*1+A58</f>
        <v>10.17</v>
      </c>
      <c r="B59" s="699">
        <f t="shared" si="18"/>
        <v>10.77</v>
      </c>
      <c r="C59" s="699">
        <f t="shared" si="18"/>
        <v>24.15</v>
      </c>
      <c r="D59" s="699">
        <f t="shared" si="18"/>
        <v>24.99</v>
      </c>
      <c r="E59" s="699">
        <f t="shared" si="18"/>
        <v>48</v>
      </c>
      <c r="F59" s="704">
        <f t="shared" si="18"/>
        <v>119</v>
      </c>
      <c r="G59" s="704">
        <f t="shared" si="18"/>
        <v>163.9</v>
      </c>
      <c r="H59" s="704">
        <f t="shared" si="18"/>
        <v>144.9</v>
      </c>
      <c r="I59" s="689">
        <f>(I68-I58)/10*1+I58</f>
        <v>311.50892205361674</v>
      </c>
      <c r="J59" s="689">
        <f>(J68-J58)/10*1+J58</f>
        <v>398.09931319723097</v>
      </c>
      <c r="K59" s="689">
        <f>(K68-K58)/10*1+K58</f>
        <v>418.46508828657625</v>
      </c>
      <c r="L59" s="694">
        <f>(L68-L58)/10*1+L58</f>
        <v>587.15202644775286</v>
      </c>
      <c r="M59" s="696">
        <v>2.1</v>
      </c>
    </row>
    <row r="60" spans="1:13" hidden="1" x14ac:dyDescent="0.2">
      <c r="A60" s="707">
        <f t="shared" ref="A60:H60" si="19">(A68-A58)/10*2+A58</f>
        <v>11.139999999999999</v>
      </c>
      <c r="B60" s="699">
        <f t="shared" si="19"/>
        <v>11.44</v>
      </c>
      <c r="C60" s="699">
        <f t="shared" si="19"/>
        <v>26.5</v>
      </c>
      <c r="D60" s="699">
        <f t="shared" si="19"/>
        <v>28.08</v>
      </c>
      <c r="E60" s="699">
        <f t="shared" si="19"/>
        <v>53</v>
      </c>
      <c r="F60" s="704">
        <f t="shared" si="19"/>
        <v>124</v>
      </c>
      <c r="G60" s="704">
        <f t="shared" si="19"/>
        <v>172.8</v>
      </c>
      <c r="H60" s="704">
        <f t="shared" si="19"/>
        <v>152.80000000000001</v>
      </c>
      <c r="I60" s="689">
        <f>(I68-I58)/10*2+I58</f>
        <v>324.9848210370476</v>
      </c>
      <c r="J60" s="689">
        <f>(J68-J58)/10*2+J58</f>
        <v>412.44743917941702</v>
      </c>
      <c r="K60" s="689">
        <f>(K68-K58)/10*2+K58</f>
        <v>434.76734696444259</v>
      </c>
      <c r="L60" s="694">
        <f>(L68-L58)/10*2+L58</f>
        <v>609.00764921472182</v>
      </c>
      <c r="M60" s="696">
        <v>2.2000000000000002</v>
      </c>
    </row>
    <row r="61" spans="1:13" hidden="1" x14ac:dyDescent="0.2">
      <c r="A61" s="707">
        <f t="shared" ref="A61:H61" si="20">(A68-A58)/10*3+A58</f>
        <v>12.11</v>
      </c>
      <c r="B61" s="699">
        <f t="shared" si="20"/>
        <v>12.11</v>
      </c>
      <c r="C61" s="699">
        <f t="shared" si="20"/>
        <v>28.85</v>
      </c>
      <c r="D61" s="699">
        <f t="shared" si="20"/>
        <v>31.169999999999998</v>
      </c>
      <c r="E61" s="699">
        <f t="shared" si="20"/>
        <v>58</v>
      </c>
      <c r="F61" s="704">
        <f t="shared" si="20"/>
        <v>129</v>
      </c>
      <c r="G61" s="704">
        <f t="shared" si="20"/>
        <v>181.7</v>
      </c>
      <c r="H61" s="704">
        <f t="shared" si="20"/>
        <v>160.69999999999999</v>
      </c>
      <c r="I61" s="689">
        <f>(I68-I58)/10*3+I58</f>
        <v>338.46072002047845</v>
      </c>
      <c r="J61" s="689">
        <f>(J68-J58)/10*3+J58</f>
        <v>426.79556516160307</v>
      </c>
      <c r="K61" s="689">
        <f>(K68-K58)/10*3+K58</f>
        <v>451.06960564230894</v>
      </c>
      <c r="L61" s="694">
        <f>(L68-L58)/10*3+L58</f>
        <v>630.86327198169079</v>
      </c>
      <c r="M61" s="696">
        <v>2.2999999999999998</v>
      </c>
    </row>
    <row r="62" spans="1:13" hidden="1" x14ac:dyDescent="0.2">
      <c r="A62" s="707">
        <f t="shared" ref="A62:H62" si="21">(A68-A58)/10*4+A58</f>
        <v>13.079999999999998</v>
      </c>
      <c r="B62" s="699">
        <f t="shared" si="21"/>
        <v>12.780000000000001</v>
      </c>
      <c r="C62" s="699">
        <f t="shared" si="21"/>
        <v>31.2</v>
      </c>
      <c r="D62" s="699">
        <f t="shared" si="21"/>
        <v>34.26</v>
      </c>
      <c r="E62" s="699">
        <f t="shared" si="21"/>
        <v>63</v>
      </c>
      <c r="F62" s="704">
        <f t="shared" si="21"/>
        <v>134</v>
      </c>
      <c r="G62" s="704">
        <f t="shared" si="21"/>
        <v>190.6</v>
      </c>
      <c r="H62" s="704">
        <f t="shared" si="21"/>
        <v>168.6</v>
      </c>
      <c r="I62" s="689">
        <f>(I68-I58)/10*4+I58</f>
        <v>351.93661900390924</v>
      </c>
      <c r="J62" s="689">
        <f>(J68-J58)/10*4+J58</f>
        <v>441.14369114378911</v>
      </c>
      <c r="K62" s="689">
        <f>(K68-K58)/10*4+K58</f>
        <v>467.37186432017529</v>
      </c>
      <c r="L62" s="694">
        <f>(L68-L58)/10*4+L58</f>
        <v>652.71889474865964</v>
      </c>
      <c r="M62" s="696">
        <v>2.4</v>
      </c>
    </row>
    <row r="63" spans="1:13" hidden="1" x14ac:dyDescent="0.2">
      <c r="A63" s="707">
        <f t="shared" ref="A63:H63" si="22">(A68-A58)/10*5+A58</f>
        <v>14.049999999999999</v>
      </c>
      <c r="B63" s="699">
        <f t="shared" si="22"/>
        <v>13.45</v>
      </c>
      <c r="C63" s="699">
        <f t="shared" si="22"/>
        <v>33.549999999999997</v>
      </c>
      <c r="D63" s="699">
        <f t="shared" si="22"/>
        <v>37.349999999999994</v>
      </c>
      <c r="E63" s="699">
        <f t="shared" si="22"/>
        <v>68</v>
      </c>
      <c r="F63" s="704">
        <f t="shared" si="22"/>
        <v>139</v>
      </c>
      <c r="G63" s="704">
        <f t="shared" si="22"/>
        <v>199.5</v>
      </c>
      <c r="H63" s="704">
        <f t="shared" si="22"/>
        <v>176.5</v>
      </c>
      <c r="I63" s="689">
        <f>(I68-I58)/10*5+I58</f>
        <v>365.41251798734004</v>
      </c>
      <c r="J63" s="689">
        <f>(J68-J58)/10*5+J58</f>
        <v>455.4918171259751</v>
      </c>
      <c r="K63" s="689">
        <f>(K68-K58)/10*5+K58</f>
        <v>483.67412299804164</v>
      </c>
      <c r="L63" s="694">
        <f>(L68-L58)/10*5+L58</f>
        <v>674.57451751562849</v>
      </c>
      <c r="M63" s="696">
        <v>2.5</v>
      </c>
    </row>
    <row r="64" spans="1:13" hidden="1" x14ac:dyDescent="0.2">
      <c r="A64" s="707">
        <f t="shared" ref="A64:H64" si="23">(A68-A58)/10*6+A58</f>
        <v>15.02</v>
      </c>
      <c r="B64" s="699">
        <f t="shared" si="23"/>
        <v>14.120000000000001</v>
      </c>
      <c r="C64" s="699">
        <f t="shared" si="23"/>
        <v>35.9</v>
      </c>
      <c r="D64" s="699">
        <f t="shared" si="23"/>
        <v>40.44</v>
      </c>
      <c r="E64" s="699">
        <f t="shared" si="23"/>
        <v>73</v>
      </c>
      <c r="F64" s="704">
        <f t="shared" si="23"/>
        <v>144</v>
      </c>
      <c r="G64" s="704">
        <f t="shared" si="23"/>
        <v>208.4</v>
      </c>
      <c r="H64" s="704">
        <f t="shared" si="23"/>
        <v>184.4</v>
      </c>
      <c r="I64" s="689">
        <f>(I68-I58)/10*6+I58</f>
        <v>378.88841697077089</v>
      </c>
      <c r="J64" s="689">
        <f>(J68-J58)/10*6+J58</f>
        <v>469.83994310816115</v>
      </c>
      <c r="K64" s="689">
        <f>(K68-K58)/10*6+K58</f>
        <v>499.97638167590799</v>
      </c>
      <c r="L64" s="694">
        <f>(L68-L58)/10*6+L58</f>
        <v>696.43014028259745</v>
      </c>
      <c r="M64" s="696">
        <v>2.6</v>
      </c>
    </row>
    <row r="65" spans="1:13" hidden="1" x14ac:dyDescent="0.2">
      <c r="A65" s="707">
        <f t="shared" ref="A65:H65" si="24">(A68-A58)/10*7+A58</f>
        <v>15.989999999999998</v>
      </c>
      <c r="B65" s="699">
        <f t="shared" si="24"/>
        <v>14.790000000000001</v>
      </c>
      <c r="C65" s="699">
        <f t="shared" si="24"/>
        <v>38.25</v>
      </c>
      <c r="D65" s="699">
        <f t="shared" si="24"/>
        <v>43.53</v>
      </c>
      <c r="E65" s="699">
        <f t="shared" si="24"/>
        <v>78</v>
      </c>
      <c r="F65" s="704">
        <f t="shared" si="24"/>
        <v>149</v>
      </c>
      <c r="G65" s="704">
        <f t="shared" si="24"/>
        <v>217.3</v>
      </c>
      <c r="H65" s="704">
        <f t="shared" si="24"/>
        <v>192.3</v>
      </c>
      <c r="I65" s="689">
        <f>(I68-I58)/10*7+I58</f>
        <v>392.36431595420174</v>
      </c>
      <c r="J65" s="689">
        <f>(J68-J58)/10*7+J58</f>
        <v>484.1880690903472</v>
      </c>
      <c r="K65" s="689">
        <f>(K68-K58)/10*7+K58</f>
        <v>516.27864035377434</v>
      </c>
      <c r="L65" s="694">
        <f>(L68-L58)/10*7+L58</f>
        <v>718.28576304956641</v>
      </c>
      <c r="M65" s="696">
        <v>2.7</v>
      </c>
    </row>
    <row r="66" spans="1:13" hidden="1" x14ac:dyDescent="0.2">
      <c r="A66" s="707">
        <f t="shared" ref="A66:H66" si="25">(A68-A58)/10*8+A58</f>
        <v>16.96</v>
      </c>
      <c r="B66" s="699">
        <f t="shared" si="25"/>
        <v>15.46</v>
      </c>
      <c r="C66" s="699">
        <f t="shared" si="25"/>
        <v>40.599999999999994</v>
      </c>
      <c r="D66" s="699">
        <f t="shared" si="25"/>
        <v>46.62</v>
      </c>
      <c r="E66" s="699">
        <f t="shared" si="25"/>
        <v>83</v>
      </c>
      <c r="F66" s="704">
        <f t="shared" si="25"/>
        <v>154</v>
      </c>
      <c r="G66" s="704">
        <f t="shared" si="25"/>
        <v>226.2</v>
      </c>
      <c r="H66" s="704">
        <f t="shared" si="25"/>
        <v>200.2</v>
      </c>
      <c r="I66" s="689">
        <f>(I68-I58)/10*8+I58</f>
        <v>405.84021493763254</v>
      </c>
      <c r="J66" s="689">
        <f>(J68-J58)/10*8+J58</f>
        <v>498.53619507253325</v>
      </c>
      <c r="K66" s="689">
        <f>(K68-K58)/10*8+K58</f>
        <v>532.58089903164068</v>
      </c>
      <c r="L66" s="694">
        <f>(L68-L58)/10*8+L58</f>
        <v>740.14138581653526</v>
      </c>
      <c r="M66" s="696">
        <v>2.8</v>
      </c>
    </row>
    <row r="67" spans="1:13" hidden="1" x14ac:dyDescent="0.2">
      <c r="A67" s="707">
        <f t="shared" ref="A67:H67" si="26">(A68-A58)/10*9+A58</f>
        <v>17.93</v>
      </c>
      <c r="B67" s="699">
        <f t="shared" si="26"/>
        <v>16.130000000000003</v>
      </c>
      <c r="C67" s="699">
        <f t="shared" si="26"/>
        <v>42.95</v>
      </c>
      <c r="D67" s="699">
        <f t="shared" si="26"/>
        <v>49.709999999999994</v>
      </c>
      <c r="E67" s="699">
        <f t="shared" si="26"/>
        <v>88</v>
      </c>
      <c r="F67" s="704">
        <f t="shared" si="26"/>
        <v>159</v>
      </c>
      <c r="G67" s="704">
        <f t="shared" si="26"/>
        <v>235.10000000000002</v>
      </c>
      <c r="H67" s="704">
        <f t="shared" si="26"/>
        <v>208.10000000000002</v>
      </c>
      <c r="I67" s="689">
        <f>(I68-I58)/10*9+I58</f>
        <v>419.31611392106333</v>
      </c>
      <c r="J67" s="689">
        <f>(J68-J58)/10*9+J58</f>
        <v>512.88432105471929</v>
      </c>
      <c r="K67" s="689">
        <f>(K68-K58)/10*9+K58</f>
        <v>548.88315770950703</v>
      </c>
      <c r="L67" s="694">
        <f>(L68-L58)/10*9+L58</f>
        <v>761.99700858350411</v>
      </c>
      <c r="M67" s="696">
        <v>2.9</v>
      </c>
    </row>
    <row r="68" spans="1:13" ht="15" hidden="1" x14ac:dyDescent="0.25">
      <c r="A68" s="707">
        <v>18.899999999999999</v>
      </c>
      <c r="B68" s="705">
        <v>16.8</v>
      </c>
      <c r="C68" s="702">
        <v>45.3</v>
      </c>
      <c r="D68" s="702">
        <v>52.8</v>
      </c>
      <c r="E68" s="702">
        <v>93</v>
      </c>
      <c r="F68" s="704">
        <v>164</v>
      </c>
      <c r="G68" s="706">
        <v>244</v>
      </c>
      <c r="H68" s="704">
        <v>216</v>
      </c>
      <c r="I68" s="689">
        <v>432.79201290449419</v>
      </c>
      <c r="J68" s="689">
        <v>527.23244703690534</v>
      </c>
      <c r="K68" s="689">
        <v>565.18541638737338</v>
      </c>
      <c r="L68" s="694">
        <v>783.85263135047308</v>
      </c>
      <c r="M68" s="696">
        <v>3</v>
      </c>
    </row>
    <row r="69" spans="1:13" hidden="1" x14ac:dyDescent="0.2">
      <c r="A69" s="707">
        <f t="shared" ref="A69:H69" si="27">(A78-A68)/10*1+A68</f>
        <v>21.06</v>
      </c>
      <c r="B69" s="699">
        <f t="shared" si="27"/>
        <v>18.630000000000003</v>
      </c>
      <c r="C69" s="699">
        <f t="shared" si="27"/>
        <v>48.089999999999996</v>
      </c>
      <c r="D69" s="699">
        <f t="shared" si="27"/>
        <v>57.44</v>
      </c>
      <c r="E69" s="699">
        <f t="shared" si="27"/>
        <v>98.3</v>
      </c>
      <c r="F69" s="704">
        <f t="shared" si="27"/>
        <v>171.4</v>
      </c>
      <c r="G69" s="704">
        <f t="shared" si="27"/>
        <v>249.5</v>
      </c>
      <c r="H69" s="704">
        <f t="shared" si="27"/>
        <v>221.8</v>
      </c>
      <c r="I69" s="689">
        <f>(I78-I68)/10*1+I68</f>
        <v>444.76228264337226</v>
      </c>
      <c r="J69" s="689">
        <f>(J78-J68)/10*1+J68</f>
        <v>541.21759100472832</v>
      </c>
      <c r="K69" s="689">
        <f>(K78-K68)/10*1+K68</f>
        <v>581.86698587509716</v>
      </c>
      <c r="L69" s="694">
        <f>(L78-L68)/10*1+L68</f>
        <v>804.57869837859187</v>
      </c>
      <c r="M69" s="696">
        <v>3.1</v>
      </c>
    </row>
    <row r="70" spans="1:13" hidden="1" x14ac:dyDescent="0.2">
      <c r="A70" s="707">
        <f t="shared" ref="A70:H70" si="28">(A78-A68)/10*2+A68</f>
        <v>23.22</v>
      </c>
      <c r="B70" s="699">
        <f t="shared" si="28"/>
        <v>20.46</v>
      </c>
      <c r="C70" s="699">
        <f t="shared" si="28"/>
        <v>50.879999999999995</v>
      </c>
      <c r="D70" s="699">
        <f t="shared" si="28"/>
        <v>62.08</v>
      </c>
      <c r="E70" s="704">
        <f t="shared" si="28"/>
        <v>103.6</v>
      </c>
      <c r="F70" s="704">
        <f t="shared" si="28"/>
        <v>178.8</v>
      </c>
      <c r="G70" s="704">
        <f t="shared" si="28"/>
        <v>255</v>
      </c>
      <c r="H70" s="704">
        <f t="shared" si="28"/>
        <v>227.6</v>
      </c>
      <c r="I70" s="689">
        <f>(I78-I68)/10*2+I68</f>
        <v>456.73255238225033</v>
      </c>
      <c r="J70" s="689">
        <f>(J78-J68)/10*2+J68</f>
        <v>555.2027349725513</v>
      </c>
      <c r="K70" s="689">
        <f>(K78-K68)/10*2+K68</f>
        <v>598.54855536282082</v>
      </c>
      <c r="L70" s="694">
        <f>(L78-L68)/10*2+L68</f>
        <v>825.30476540671054</v>
      </c>
      <c r="M70" s="696">
        <v>3.2</v>
      </c>
    </row>
    <row r="71" spans="1:13" hidden="1" x14ac:dyDescent="0.2">
      <c r="A71" s="707">
        <f t="shared" ref="A71:H71" si="29">(A78-A68)/10*3+A68</f>
        <v>25.38</v>
      </c>
      <c r="B71" s="699">
        <f t="shared" si="29"/>
        <v>22.29</v>
      </c>
      <c r="C71" s="699">
        <f t="shared" si="29"/>
        <v>53.67</v>
      </c>
      <c r="D71" s="699">
        <f t="shared" si="29"/>
        <v>66.72</v>
      </c>
      <c r="E71" s="704">
        <f t="shared" si="29"/>
        <v>108.9</v>
      </c>
      <c r="F71" s="704">
        <f t="shared" si="29"/>
        <v>186.2</v>
      </c>
      <c r="G71" s="704">
        <f t="shared" si="29"/>
        <v>260.5</v>
      </c>
      <c r="H71" s="704">
        <f t="shared" si="29"/>
        <v>233.4</v>
      </c>
      <c r="I71" s="689">
        <f>(I78-I68)/10*3+I68</f>
        <v>468.70282212112841</v>
      </c>
      <c r="J71" s="689">
        <f>(J78-J68)/10*3+J68</f>
        <v>569.18787894037428</v>
      </c>
      <c r="K71" s="689">
        <f>(K78-K68)/10*3+K68</f>
        <v>615.2301248505446</v>
      </c>
      <c r="L71" s="694">
        <f>(L78-L68)/10*3+L68</f>
        <v>846.03083243482934</v>
      </c>
      <c r="M71" s="696">
        <v>3.3</v>
      </c>
    </row>
    <row r="72" spans="1:13" hidden="1" x14ac:dyDescent="0.2">
      <c r="A72" s="707">
        <f t="shared" ref="A72:H72" si="30">(A78-A68)/10*4+A68</f>
        <v>27.54</v>
      </c>
      <c r="B72" s="699">
        <f t="shared" si="30"/>
        <v>24.12</v>
      </c>
      <c r="C72" s="699">
        <f t="shared" si="30"/>
        <v>56.46</v>
      </c>
      <c r="D72" s="699">
        <f t="shared" si="30"/>
        <v>71.36</v>
      </c>
      <c r="E72" s="704">
        <f t="shared" si="30"/>
        <v>114.2</v>
      </c>
      <c r="F72" s="704">
        <f t="shared" si="30"/>
        <v>193.6</v>
      </c>
      <c r="G72" s="704">
        <f t="shared" si="30"/>
        <v>266</v>
      </c>
      <c r="H72" s="704">
        <f t="shared" si="30"/>
        <v>239.2</v>
      </c>
      <c r="I72" s="689">
        <f>(I78-I68)/10*4+I68</f>
        <v>480.67309186000654</v>
      </c>
      <c r="J72" s="689">
        <f>(J78-J68)/10*4+J68</f>
        <v>583.17302290819725</v>
      </c>
      <c r="K72" s="689">
        <f>(K78-K68)/10*4+K68</f>
        <v>631.91169433826826</v>
      </c>
      <c r="L72" s="694">
        <f>(L78-L68)/10*4+L68</f>
        <v>866.75689946294813</v>
      </c>
      <c r="M72" s="696">
        <v>3.4</v>
      </c>
    </row>
    <row r="73" spans="1:13" hidden="1" x14ac:dyDescent="0.2">
      <c r="A73" s="707">
        <f t="shared" ref="A73:H73" si="31">(A78-A68)/10*5+A68</f>
        <v>29.7</v>
      </c>
      <c r="B73" s="699">
        <f t="shared" si="31"/>
        <v>25.950000000000003</v>
      </c>
      <c r="C73" s="699">
        <f t="shared" si="31"/>
        <v>59.25</v>
      </c>
      <c r="D73" s="699">
        <f t="shared" si="31"/>
        <v>76</v>
      </c>
      <c r="E73" s="704">
        <f t="shared" si="31"/>
        <v>119.5</v>
      </c>
      <c r="F73" s="704">
        <f t="shared" si="31"/>
        <v>201</v>
      </c>
      <c r="G73" s="704">
        <f t="shared" si="31"/>
        <v>271.5</v>
      </c>
      <c r="H73" s="704">
        <f t="shared" si="31"/>
        <v>245</v>
      </c>
      <c r="I73" s="689">
        <f>(I78-I68)/10*5+I68</f>
        <v>492.64336159888461</v>
      </c>
      <c r="J73" s="689">
        <f>(J78-J68)/10*5+J68</f>
        <v>597.15816687602023</v>
      </c>
      <c r="K73" s="689">
        <f>(K78-K68)/10*5+K68</f>
        <v>648.59326382599204</v>
      </c>
      <c r="L73" s="694">
        <f>(L78-L68)/10*5+L68</f>
        <v>887.48296649106692</v>
      </c>
      <c r="M73" s="696">
        <v>3.5</v>
      </c>
    </row>
    <row r="74" spans="1:13" hidden="1" x14ac:dyDescent="0.2">
      <c r="A74" s="707">
        <f t="shared" ref="A74:H74" si="32">(A78-A68)/10*6+A68</f>
        <v>31.86</v>
      </c>
      <c r="B74" s="699">
        <f t="shared" si="32"/>
        <v>27.78</v>
      </c>
      <c r="C74" s="699">
        <f t="shared" si="32"/>
        <v>62.04</v>
      </c>
      <c r="D74" s="699">
        <f t="shared" si="32"/>
        <v>80.64</v>
      </c>
      <c r="E74" s="704">
        <f t="shared" si="32"/>
        <v>124.8</v>
      </c>
      <c r="F74" s="704">
        <f t="shared" si="32"/>
        <v>208.4</v>
      </c>
      <c r="G74" s="704">
        <f t="shared" si="32"/>
        <v>277</v>
      </c>
      <c r="H74" s="704">
        <f t="shared" si="32"/>
        <v>250.8</v>
      </c>
      <c r="I74" s="689">
        <f>(I78-I68)/10*6+I68</f>
        <v>504.61363133776268</v>
      </c>
      <c r="J74" s="689">
        <f>(J78-J68)/10*6+J68</f>
        <v>611.14331084384321</v>
      </c>
      <c r="K74" s="689">
        <f>(K78-K68)/10*6+K68</f>
        <v>665.27483331371582</v>
      </c>
      <c r="L74" s="694">
        <f>(L78-L68)/10*6+L68</f>
        <v>908.2090335191856</v>
      </c>
      <c r="M74" s="696">
        <v>3.6</v>
      </c>
    </row>
    <row r="75" spans="1:13" hidden="1" x14ac:dyDescent="0.2">
      <c r="A75" s="707">
        <f t="shared" ref="A75:H75" si="33">(A78-A68)/10*7+A68</f>
        <v>34.019999999999996</v>
      </c>
      <c r="B75" s="699">
        <f t="shared" si="33"/>
        <v>29.61</v>
      </c>
      <c r="C75" s="699">
        <f t="shared" si="33"/>
        <v>64.83</v>
      </c>
      <c r="D75" s="699">
        <f t="shared" si="33"/>
        <v>85.28</v>
      </c>
      <c r="E75" s="704">
        <f t="shared" si="33"/>
        <v>130.1</v>
      </c>
      <c r="F75" s="704">
        <f t="shared" si="33"/>
        <v>215.8</v>
      </c>
      <c r="G75" s="704">
        <f t="shared" si="33"/>
        <v>282.5</v>
      </c>
      <c r="H75" s="704">
        <f t="shared" si="33"/>
        <v>256.60000000000002</v>
      </c>
      <c r="I75" s="689">
        <f>(I78-I68)/10*7+I68</f>
        <v>516.58390107664081</v>
      </c>
      <c r="J75" s="689">
        <f>(J78-J68)/10*7+J68</f>
        <v>625.1284548116663</v>
      </c>
      <c r="K75" s="689">
        <f>(K78-K68)/10*7+K68</f>
        <v>681.95640280143948</v>
      </c>
      <c r="L75" s="694">
        <f>(L78-L68)/10*7+L68</f>
        <v>928.93510054730439</v>
      </c>
      <c r="M75" s="696">
        <v>3.7</v>
      </c>
    </row>
    <row r="76" spans="1:13" hidden="1" x14ac:dyDescent="0.2">
      <c r="A76" s="707">
        <f t="shared" ref="A76:H76" si="34">(A78-A68)/10*8+A68</f>
        <v>36.18</v>
      </c>
      <c r="B76" s="699">
        <f t="shared" si="34"/>
        <v>31.44</v>
      </c>
      <c r="C76" s="699">
        <f t="shared" si="34"/>
        <v>67.62</v>
      </c>
      <c r="D76" s="699">
        <f t="shared" si="34"/>
        <v>89.92</v>
      </c>
      <c r="E76" s="704">
        <f t="shared" si="34"/>
        <v>135.4</v>
      </c>
      <c r="F76" s="704">
        <f t="shared" si="34"/>
        <v>223.2</v>
      </c>
      <c r="G76" s="704">
        <f t="shared" si="34"/>
        <v>288</v>
      </c>
      <c r="H76" s="704">
        <f t="shared" si="34"/>
        <v>262.39999999999998</v>
      </c>
      <c r="I76" s="689">
        <f>(I78-I68)/10*8+I68</f>
        <v>528.55417081551889</v>
      </c>
      <c r="J76" s="689">
        <f>(J78-J68)/10*8+J68</f>
        <v>639.11359877948928</v>
      </c>
      <c r="K76" s="689">
        <f>(K78-K68)/10*8+K68</f>
        <v>698.63797228916326</v>
      </c>
      <c r="L76" s="694">
        <f>(L78-L68)/10*8+L68</f>
        <v>949.66116757542318</v>
      </c>
      <c r="M76" s="696">
        <v>3.8</v>
      </c>
    </row>
    <row r="77" spans="1:13" hidden="1" x14ac:dyDescent="0.2">
      <c r="A77" s="707">
        <f t="shared" ref="A77:H77" si="35">(A78-A68)/10*9+A68</f>
        <v>38.340000000000003</v>
      </c>
      <c r="B77" s="699">
        <f t="shared" si="35"/>
        <v>33.269999999999996</v>
      </c>
      <c r="C77" s="699">
        <f t="shared" si="35"/>
        <v>70.41</v>
      </c>
      <c r="D77" s="699">
        <f t="shared" si="35"/>
        <v>94.56</v>
      </c>
      <c r="E77" s="704">
        <f t="shared" si="35"/>
        <v>140.69999999999999</v>
      </c>
      <c r="F77" s="704">
        <f t="shared" si="35"/>
        <v>230.60000000000002</v>
      </c>
      <c r="G77" s="704">
        <f t="shared" si="35"/>
        <v>293.5</v>
      </c>
      <c r="H77" s="704">
        <f t="shared" si="35"/>
        <v>268.2</v>
      </c>
      <c r="I77" s="689">
        <f>(I78-I68)/10*9+I68</f>
        <v>540.52444055439696</v>
      </c>
      <c r="J77" s="689">
        <f>(J78-J68)/10*9+J68</f>
        <v>653.09874274731226</v>
      </c>
      <c r="K77" s="689">
        <f>(K78-K68)/10*9+K68</f>
        <v>715.31954177688692</v>
      </c>
      <c r="L77" s="694">
        <f>(L78-L68)/10*9+L68</f>
        <v>970.38723460354186</v>
      </c>
      <c r="M77" s="696">
        <v>3.9</v>
      </c>
    </row>
    <row r="78" spans="1:13" ht="15" hidden="1" x14ac:dyDescent="0.25">
      <c r="A78" s="707">
        <v>40.5</v>
      </c>
      <c r="B78" s="705">
        <v>35.1</v>
      </c>
      <c r="C78" s="702">
        <v>73.2</v>
      </c>
      <c r="D78" s="702">
        <v>99.2</v>
      </c>
      <c r="E78" s="708">
        <v>146</v>
      </c>
      <c r="F78" s="704">
        <v>238</v>
      </c>
      <c r="G78" s="706">
        <v>299</v>
      </c>
      <c r="H78" s="704">
        <v>274</v>
      </c>
      <c r="I78" s="689">
        <v>552.49471029327503</v>
      </c>
      <c r="J78" s="689">
        <v>667.08388671513524</v>
      </c>
      <c r="K78" s="689">
        <v>732.0011112646107</v>
      </c>
      <c r="L78" s="694">
        <v>991.11330163166065</v>
      </c>
      <c r="M78" s="696">
        <v>4</v>
      </c>
    </row>
    <row r="79" spans="1:13" hidden="1" x14ac:dyDescent="0.2">
      <c r="A79" s="707">
        <f t="shared" ref="A79:H79" si="36">(A88-A78)/10*1+A78</f>
        <v>42.61</v>
      </c>
      <c r="B79" s="699">
        <f t="shared" si="36"/>
        <v>37.94</v>
      </c>
      <c r="C79" s="699">
        <f t="shared" si="36"/>
        <v>77.56</v>
      </c>
      <c r="D79" s="704">
        <f t="shared" si="36"/>
        <v>105.47</v>
      </c>
      <c r="E79" s="704">
        <f t="shared" si="36"/>
        <v>151.69999999999999</v>
      </c>
      <c r="F79" s="704">
        <f t="shared" si="36"/>
        <v>253.4</v>
      </c>
      <c r="G79" s="704">
        <f t="shared" si="36"/>
        <v>310.5</v>
      </c>
      <c r="H79" s="704">
        <f t="shared" si="36"/>
        <v>279.5</v>
      </c>
      <c r="I79" s="689">
        <f>(I88-I78)/10*1+I78</f>
        <v>565.0748550547321</v>
      </c>
      <c r="J79" s="689">
        <f>(J88-J78)/10*1+J78</f>
        <v>680.15277698570117</v>
      </c>
      <c r="K79" s="689">
        <f>(K88-K78)/10*1+K78</f>
        <v>746.04002166652663</v>
      </c>
      <c r="L79" s="694">
        <f>(L88-L78)/10*1+L78</f>
        <v>1010.8309627848113</v>
      </c>
      <c r="M79" s="696">
        <v>4.0999999999999996</v>
      </c>
    </row>
    <row r="80" spans="1:13" hidden="1" x14ac:dyDescent="0.2">
      <c r="A80" s="707">
        <f t="shared" ref="A80:H80" si="37">(A88-A78)/10*2+A78</f>
        <v>44.72</v>
      </c>
      <c r="B80" s="699">
        <f t="shared" si="37"/>
        <v>40.78</v>
      </c>
      <c r="C80" s="699">
        <f t="shared" si="37"/>
        <v>81.92</v>
      </c>
      <c r="D80" s="704">
        <f t="shared" si="37"/>
        <v>111.74000000000001</v>
      </c>
      <c r="E80" s="704">
        <f t="shared" si="37"/>
        <v>157.4</v>
      </c>
      <c r="F80" s="704">
        <f t="shared" si="37"/>
        <v>268.8</v>
      </c>
      <c r="G80" s="704">
        <f t="shared" si="37"/>
        <v>322</v>
      </c>
      <c r="H80" s="704">
        <f t="shared" si="37"/>
        <v>285</v>
      </c>
      <c r="I80" s="689">
        <f>(I88-I78)/10*2+I78</f>
        <v>577.65499981618916</v>
      </c>
      <c r="J80" s="689">
        <f>(J88-J78)/10*2+J78</f>
        <v>693.2216672562671</v>
      </c>
      <c r="K80" s="689">
        <f>(K88-K78)/10*2+K78</f>
        <v>760.07893206844244</v>
      </c>
      <c r="L80" s="694">
        <f>(L88-L78)/10*2+L78</f>
        <v>1030.5486239379618</v>
      </c>
      <c r="M80" s="696">
        <v>4.2</v>
      </c>
    </row>
    <row r="81" spans="1:13" hidden="1" x14ac:dyDescent="0.2">
      <c r="A81" s="707">
        <f t="shared" ref="A81:H81" si="38">(A88-A78)/10*3+A78</f>
        <v>46.83</v>
      </c>
      <c r="B81" s="699">
        <f t="shared" si="38"/>
        <v>43.620000000000005</v>
      </c>
      <c r="C81" s="699">
        <f t="shared" si="38"/>
        <v>86.28</v>
      </c>
      <c r="D81" s="704">
        <f t="shared" si="38"/>
        <v>118.01</v>
      </c>
      <c r="E81" s="704">
        <f t="shared" si="38"/>
        <v>163.1</v>
      </c>
      <c r="F81" s="704">
        <f t="shared" si="38"/>
        <v>284.2</v>
      </c>
      <c r="G81" s="704">
        <f t="shared" si="38"/>
        <v>333.5</v>
      </c>
      <c r="H81" s="704">
        <f t="shared" si="38"/>
        <v>290.5</v>
      </c>
      <c r="I81" s="689">
        <f>(I88-I78)/10*3+I78</f>
        <v>590.23514457764611</v>
      </c>
      <c r="J81" s="689">
        <f>(J88-J78)/10*3+J78</f>
        <v>706.29055752683291</v>
      </c>
      <c r="K81" s="689">
        <f>(K88-K78)/10*3+K78</f>
        <v>774.11784247035837</v>
      </c>
      <c r="L81" s="694">
        <f>(L88-L78)/10*3+L78</f>
        <v>1050.2662850911124</v>
      </c>
      <c r="M81" s="696">
        <v>4.3</v>
      </c>
    </row>
    <row r="82" spans="1:13" hidden="1" x14ac:dyDescent="0.2">
      <c r="A82" s="707">
        <f t="shared" ref="A82:H82" si="39">(A88-A78)/10*4+A78</f>
        <v>48.94</v>
      </c>
      <c r="B82" s="699">
        <f t="shared" si="39"/>
        <v>46.46</v>
      </c>
      <c r="C82" s="699">
        <f t="shared" si="39"/>
        <v>90.64</v>
      </c>
      <c r="D82" s="704">
        <f t="shared" si="39"/>
        <v>124.28</v>
      </c>
      <c r="E82" s="704">
        <f t="shared" si="39"/>
        <v>168.8</v>
      </c>
      <c r="F82" s="704">
        <f t="shared" si="39"/>
        <v>299.60000000000002</v>
      </c>
      <c r="G82" s="704">
        <f t="shared" si="39"/>
        <v>345</v>
      </c>
      <c r="H82" s="704">
        <f t="shared" si="39"/>
        <v>296</v>
      </c>
      <c r="I82" s="689">
        <f>(I88-I78)/10*4+I78</f>
        <v>602.81528933910317</v>
      </c>
      <c r="J82" s="689">
        <f>(J88-J78)/10*4+J78</f>
        <v>719.35944779739884</v>
      </c>
      <c r="K82" s="689">
        <f>(K88-K78)/10*4+K78</f>
        <v>788.1567528722743</v>
      </c>
      <c r="L82" s="694">
        <f>(L88-L78)/10*4+L78</f>
        <v>1069.9839462442631</v>
      </c>
      <c r="M82" s="696">
        <v>4.4000000000000004</v>
      </c>
    </row>
    <row r="83" spans="1:13" hidden="1" x14ac:dyDescent="0.2">
      <c r="A83" s="707">
        <f t="shared" ref="A83:H83" si="40">(A88-A78)/10*5+A78</f>
        <v>51.05</v>
      </c>
      <c r="B83" s="699">
        <f t="shared" si="40"/>
        <v>49.3</v>
      </c>
      <c r="C83" s="699">
        <f t="shared" si="40"/>
        <v>95</v>
      </c>
      <c r="D83" s="704">
        <f t="shared" si="40"/>
        <v>130.55000000000001</v>
      </c>
      <c r="E83" s="704">
        <f t="shared" si="40"/>
        <v>174.5</v>
      </c>
      <c r="F83" s="704">
        <f t="shared" si="40"/>
        <v>315</v>
      </c>
      <c r="G83" s="704">
        <f t="shared" si="40"/>
        <v>356.5</v>
      </c>
      <c r="H83" s="704">
        <f t="shared" si="40"/>
        <v>301.5</v>
      </c>
      <c r="I83" s="689">
        <f>(I88-I78)/10*5+I78</f>
        <v>615.39543410056024</v>
      </c>
      <c r="J83" s="689">
        <f>(J88-J78)/10*5+J78</f>
        <v>732.42833806796477</v>
      </c>
      <c r="K83" s="689">
        <f>(K88-K78)/10*5+K78</f>
        <v>802.19566327419011</v>
      </c>
      <c r="L83" s="694">
        <f>(L88-L78)/10*5+L78</f>
        <v>1089.7016073974137</v>
      </c>
      <c r="M83" s="696">
        <v>4.5</v>
      </c>
    </row>
    <row r="84" spans="1:13" hidden="1" x14ac:dyDescent="0.2">
      <c r="A84" s="707">
        <f t="shared" ref="A84:H84" si="41">(A88-A78)/10*6+A78</f>
        <v>53.160000000000004</v>
      </c>
      <c r="B84" s="699">
        <f t="shared" si="41"/>
        <v>52.14</v>
      </c>
      <c r="C84" s="699">
        <f t="shared" si="41"/>
        <v>99.36</v>
      </c>
      <c r="D84" s="704">
        <f t="shared" si="41"/>
        <v>136.82</v>
      </c>
      <c r="E84" s="704">
        <f t="shared" si="41"/>
        <v>180.2</v>
      </c>
      <c r="F84" s="704">
        <f t="shared" si="41"/>
        <v>330.4</v>
      </c>
      <c r="G84" s="704">
        <f t="shared" si="41"/>
        <v>368</v>
      </c>
      <c r="H84" s="704">
        <f t="shared" si="41"/>
        <v>307</v>
      </c>
      <c r="I84" s="689">
        <f>(I88-I78)/10*6+I78</f>
        <v>627.9755788620173</v>
      </c>
      <c r="J84" s="689">
        <f>(J88-J78)/10*6+J78</f>
        <v>745.4972283385307</v>
      </c>
      <c r="K84" s="689">
        <f>(K88-K78)/10*6+K78</f>
        <v>816.23457367610604</v>
      </c>
      <c r="L84" s="694">
        <f>(L88-L78)/10*6+L78</f>
        <v>1109.4192685505643</v>
      </c>
      <c r="M84" s="696">
        <v>4.5999999999999996</v>
      </c>
    </row>
    <row r="85" spans="1:13" hidden="1" x14ac:dyDescent="0.2">
      <c r="A85" s="707">
        <f t="shared" ref="A85:H85" si="42">(A88-A78)/10*7+A78</f>
        <v>55.27</v>
      </c>
      <c r="B85" s="699">
        <f t="shared" si="42"/>
        <v>54.980000000000004</v>
      </c>
      <c r="C85" s="704">
        <f t="shared" si="42"/>
        <v>103.72</v>
      </c>
      <c r="D85" s="704">
        <f t="shared" si="42"/>
        <v>143.09</v>
      </c>
      <c r="E85" s="704">
        <f t="shared" si="42"/>
        <v>185.9</v>
      </c>
      <c r="F85" s="704">
        <f t="shared" si="42"/>
        <v>345.8</v>
      </c>
      <c r="G85" s="704">
        <f t="shared" si="42"/>
        <v>379.5</v>
      </c>
      <c r="H85" s="704">
        <f t="shared" si="42"/>
        <v>312.5</v>
      </c>
      <c r="I85" s="689">
        <f>(I88-I78)/10*7+I78</f>
        <v>640.55572362347436</v>
      </c>
      <c r="J85" s="689">
        <f>(J88-J78)/10*7+J78</f>
        <v>758.56611860909663</v>
      </c>
      <c r="K85" s="689">
        <f>(K88-K78)/10*7+K78</f>
        <v>830.27348407802197</v>
      </c>
      <c r="L85" s="694">
        <f>(L88-L78)/10*7+L78</f>
        <v>1129.1369297037149</v>
      </c>
      <c r="M85" s="696">
        <v>4.7</v>
      </c>
    </row>
    <row r="86" spans="1:13" hidden="1" x14ac:dyDescent="0.2">
      <c r="A86" s="707">
        <f t="shared" ref="A86:H86" si="43">(A88-A78)/10*8+A78</f>
        <v>57.38</v>
      </c>
      <c r="B86" s="699">
        <f t="shared" si="43"/>
        <v>57.82</v>
      </c>
      <c r="C86" s="704">
        <f t="shared" si="43"/>
        <v>108.08</v>
      </c>
      <c r="D86" s="704">
        <f t="shared" si="43"/>
        <v>149.36000000000001</v>
      </c>
      <c r="E86" s="704">
        <f t="shared" si="43"/>
        <v>191.6</v>
      </c>
      <c r="F86" s="704">
        <f t="shared" si="43"/>
        <v>361.2</v>
      </c>
      <c r="G86" s="704">
        <f t="shared" si="43"/>
        <v>391</v>
      </c>
      <c r="H86" s="704">
        <f t="shared" si="43"/>
        <v>318</v>
      </c>
      <c r="I86" s="689">
        <f>(I88-I78)/10*8+I78</f>
        <v>653.13586838493131</v>
      </c>
      <c r="J86" s="689">
        <f>(J88-J78)/10*8+J78</f>
        <v>771.63500887966245</v>
      </c>
      <c r="K86" s="689">
        <f>(K88-K78)/10*8+K78</f>
        <v>844.31239447993789</v>
      </c>
      <c r="L86" s="694">
        <f>(L88-L78)/10*8+L78</f>
        <v>1148.8545908568656</v>
      </c>
      <c r="M86" s="696">
        <v>4.8</v>
      </c>
    </row>
    <row r="87" spans="1:13" hidden="1" x14ac:dyDescent="0.2">
      <c r="A87" s="707">
        <f t="shared" ref="A87:H87" si="44">(A88-A78)/10*9+A78</f>
        <v>59.49</v>
      </c>
      <c r="B87" s="699">
        <f t="shared" si="44"/>
        <v>60.66</v>
      </c>
      <c r="C87" s="704">
        <f t="shared" si="44"/>
        <v>112.44</v>
      </c>
      <c r="D87" s="704">
        <f t="shared" si="44"/>
        <v>155.63</v>
      </c>
      <c r="E87" s="704">
        <f t="shared" si="44"/>
        <v>197.3</v>
      </c>
      <c r="F87" s="704">
        <f t="shared" si="44"/>
        <v>376.6</v>
      </c>
      <c r="G87" s="704">
        <f t="shared" si="44"/>
        <v>402.5</v>
      </c>
      <c r="H87" s="704">
        <f t="shared" si="44"/>
        <v>323.5</v>
      </c>
      <c r="I87" s="689">
        <f>(I88-I78)/10*9+I78</f>
        <v>665.71601314638838</v>
      </c>
      <c r="J87" s="689">
        <f>(J88-J78)/10*9+J78</f>
        <v>784.70389915022838</v>
      </c>
      <c r="K87" s="689">
        <f>(K88-K78)/10*9+K78</f>
        <v>858.35130488185371</v>
      </c>
      <c r="L87" s="694">
        <f>(L88-L78)/10*9+L78</f>
        <v>1168.5722520100162</v>
      </c>
      <c r="M87" s="696">
        <v>4.9000000000000004</v>
      </c>
    </row>
    <row r="88" spans="1:13" ht="15" hidden="1" x14ac:dyDescent="0.25">
      <c r="A88" s="707">
        <v>61.6</v>
      </c>
      <c r="B88" s="705">
        <v>63.5</v>
      </c>
      <c r="C88" s="708">
        <v>116.8</v>
      </c>
      <c r="D88" s="708">
        <v>161.9</v>
      </c>
      <c r="E88" s="708">
        <v>203</v>
      </c>
      <c r="F88" s="704">
        <v>392</v>
      </c>
      <c r="G88" s="706">
        <v>414</v>
      </c>
      <c r="H88" s="704">
        <v>329</v>
      </c>
      <c r="I88" s="689">
        <v>678.29615790784544</v>
      </c>
      <c r="J88" s="689">
        <v>797.77278942079431</v>
      </c>
      <c r="K88" s="689">
        <v>872.39021528376963</v>
      </c>
      <c r="L88" s="694">
        <v>1188.2899131631668</v>
      </c>
      <c r="M88" s="696">
        <v>5</v>
      </c>
    </row>
    <row r="89" spans="1:13" hidden="1" x14ac:dyDescent="0.2">
      <c r="A89" s="707">
        <f t="shared" ref="A89:H89" si="45">(A98-A88)/10*1+A88</f>
        <v>62.96</v>
      </c>
      <c r="B89" s="699">
        <f t="shared" si="45"/>
        <v>65.709999999999994</v>
      </c>
      <c r="C89" s="704">
        <f t="shared" si="45"/>
        <v>120.32</v>
      </c>
      <c r="D89" s="704">
        <f t="shared" si="45"/>
        <v>165.20000000000002</v>
      </c>
      <c r="E89" s="704">
        <f t="shared" si="45"/>
        <v>206.3</v>
      </c>
      <c r="F89" s="704">
        <f t="shared" si="45"/>
        <v>403.5</v>
      </c>
      <c r="G89" s="704">
        <f t="shared" si="45"/>
        <v>426.7</v>
      </c>
      <c r="H89" s="704">
        <f t="shared" si="45"/>
        <v>344.4</v>
      </c>
      <c r="I89" s="689">
        <f>(I98-I88)/10*1+I88</f>
        <v>688.22546284327052</v>
      </c>
      <c r="J89" s="689">
        <f>(J98-J88)/10*1+J88</f>
        <v>808.41618480884324</v>
      </c>
      <c r="K89" s="689">
        <f>(K98-K88)/10*1+K88</f>
        <v>887.49384066697871</v>
      </c>
      <c r="L89" s="694">
        <f>(L98-L88)/10*1+L88</f>
        <v>1206.1977606266059</v>
      </c>
      <c r="M89" s="696">
        <v>5.0999999999999996</v>
      </c>
    </row>
    <row r="90" spans="1:13" hidden="1" x14ac:dyDescent="0.2">
      <c r="A90" s="707">
        <f t="shared" ref="A90:H90" si="46">(A98-A88)/10*2+A88</f>
        <v>64.320000000000007</v>
      </c>
      <c r="B90" s="699">
        <f t="shared" si="46"/>
        <v>67.92</v>
      </c>
      <c r="C90" s="704">
        <f t="shared" si="46"/>
        <v>123.84</v>
      </c>
      <c r="D90" s="704">
        <f t="shared" si="46"/>
        <v>168.5</v>
      </c>
      <c r="E90" s="704">
        <f t="shared" si="46"/>
        <v>209.6</v>
      </c>
      <c r="F90" s="704">
        <f t="shared" si="46"/>
        <v>415</v>
      </c>
      <c r="G90" s="704">
        <f t="shared" si="46"/>
        <v>439.4</v>
      </c>
      <c r="H90" s="704">
        <f t="shared" si="46"/>
        <v>359.8</v>
      </c>
      <c r="I90" s="689">
        <f>(I98-I88)/10*2+I88</f>
        <v>698.1547677786956</v>
      </c>
      <c r="J90" s="689">
        <f>(J98-J88)/10*2+J88</f>
        <v>819.05958019689228</v>
      </c>
      <c r="K90" s="689">
        <f>(K98-K88)/10*2+K88</f>
        <v>902.5974660501879</v>
      </c>
      <c r="L90" s="694">
        <f>(L98-L88)/10*2+L88</f>
        <v>1224.1056080900451</v>
      </c>
      <c r="M90" s="696">
        <v>5.2</v>
      </c>
    </row>
    <row r="91" spans="1:13" hidden="1" x14ac:dyDescent="0.2">
      <c r="A91" s="707">
        <f t="shared" ref="A91:H91" si="47">(A98-A88)/10*3+A88</f>
        <v>65.680000000000007</v>
      </c>
      <c r="B91" s="699">
        <f t="shared" si="47"/>
        <v>70.13</v>
      </c>
      <c r="C91" s="704">
        <f t="shared" si="47"/>
        <v>127.36</v>
      </c>
      <c r="D91" s="704">
        <f t="shared" si="47"/>
        <v>171.8</v>
      </c>
      <c r="E91" s="704">
        <f t="shared" si="47"/>
        <v>212.9</v>
      </c>
      <c r="F91" s="704">
        <f t="shared" si="47"/>
        <v>426.5</v>
      </c>
      <c r="G91" s="704">
        <f t="shared" si="47"/>
        <v>452.1</v>
      </c>
      <c r="H91" s="704">
        <f t="shared" si="47"/>
        <v>375.2</v>
      </c>
      <c r="I91" s="689">
        <f>(I98-I88)/10*3+I88</f>
        <v>708.08407271412068</v>
      </c>
      <c r="J91" s="689">
        <f>(J98-J88)/10*3+J88</f>
        <v>829.70297558494121</v>
      </c>
      <c r="K91" s="689">
        <f>(K98-K88)/10*3+K88</f>
        <v>917.7010914333971</v>
      </c>
      <c r="L91" s="694">
        <f>(L98-L88)/10*3+L88</f>
        <v>1242.0134555534844</v>
      </c>
      <c r="M91" s="696">
        <v>5.3</v>
      </c>
    </row>
    <row r="92" spans="1:13" hidden="1" x14ac:dyDescent="0.2">
      <c r="A92" s="707">
        <f t="shared" ref="A92:H92" si="48">(A98-A88)/10*4+A88</f>
        <v>67.040000000000006</v>
      </c>
      <c r="B92" s="699">
        <f t="shared" si="48"/>
        <v>72.34</v>
      </c>
      <c r="C92" s="704">
        <f t="shared" si="48"/>
        <v>130.88</v>
      </c>
      <c r="D92" s="704">
        <f t="shared" si="48"/>
        <v>175.1</v>
      </c>
      <c r="E92" s="704">
        <f t="shared" si="48"/>
        <v>216.2</v>
      </c>
      <c r="F92" s="704">
        <f t="shared" si="48"/>
        <v>438</v>
      </c>
      <c r="G92" s="704">
        <f t="shared" si="48"/>
        <v>464.8</v>
      </c>
      <c r="H92" s="704">
        <f t="shared" si="48"/>
        <v>390.6</v>
      </c>
      <c r="I92" s="689">
        <f>(I98-I88)/10*4+I88</f>
        <v>718.01337764954576</v>
      </c>
      <c r="J92" s="689">
        <f>(J98-J88)/10*4+J88</f>
        <v>840.34637097299014</v>
      </c>
      <c r="K92" s="689">
        <f>(K98-K88)/10*4+K88</f>
        <v>932.80471681660617</v>
      </c>
      <c r="L92" s="694">
        <f>(L98-L88)/10*4+L88</f>
        <v>1259.9213030169235</v>
      </c>
      <c r="M92" s="696">
        <v>5.4</v>
      </c>
    </row>
    <row r="93" spans="1:13" hidden="1" x14ac:dyDescent="0.2">
      <c r="A93" s="707">
        <f t="shared" ref="A93:H93" si="49">(A98-A88)/10*5+A88</f>
        <v>68.400000000000006</v>
      </c>
      <c r="B93" s="699">
        <f t="shared" si="49"/>
        <v>74.55</v>
      </c>
      <c r="C93" s="704">
        <f t="shared" si="49"/>
        <v>134.4</v>
      </c>
      <c r="D93" s="704">
        <f t="shared" si="49"/>
        <v>178.4</v>
      </c>
      <c r="E93" s="704">
        <f t="shared" si="49"/>
        <v>219.5</v>
      </c>
      <c r="F93" s="704">
        <f t="shared" si="49"/>
        <v>449.5</v>
      </c>
      <c r="G93" s="704">
        <f t="shared" si="49"/>
        <v>477.5</v>
      </c>
      <c r="H93" s="704">
        <f t="shared" si="49"/>
        <v>406</v>
      </c>
      <c r="I93" s="689">
        <f>(I98-I88)/10*5+I88</f>
        <v>727.94268258497095</v>
      </c>
      <c r="J93" s="689">
        <f>(J98-J88)/10*5+J88</f>
        <v>850.98976636103907</v>
      </c>
      <c r="K93" s="689">
        <f>(K98-K88)/10*5+K88</f>
        <v>947.90834219981525</v>
      </c>
      <c r="L93" s="694">
        <f>(L98-L88)/10*5+L88</f>
        <v>1277.8291504803626</v>
      </c>
      <c r="M93" s="696">
        <v>5.5</v>
      </c>
    </row>
    <row r="94" spans="1:13" hidden="1" x14ac:dyDescent="0.2">
      <c r="A94" s="707">
        <f t="shared" ref="A94:H94" si="50">(A98-A88)/10*6+A88</f>
        <v>69.760000000000005</v>
      </c>
      <c r="B94" s="699">
        <f t="shared" si="50"/>
        <v>76.759999999999991</v>
      </c>
      <c r="C94" s="704">
        <f t="shared" si="50"/>
        <v>137.92000000000002</v>
      </c>
      <c r="D94" s="704">
        <f t="shared" si="50"/>
        <v>181.7</v>
      </c>
      <c r="E94" s="704">
        <f t="shared" si="50"/>
        <v>222.8</v>
      </c>
      <c r="F94" s="704">
        <f t="shared" si="50"/>
        <v>461</v>
      </c>
      <c r="G94" s="704">
        <f t="shared" si="50"/>
        <v>490.2</v>
      </c>
      <c r="H94" s="704">
        <f t="shared" si="50"/>
        <v>421.4</v>
      </c>
      <c r="I94" s="689">
        <f>(I98-I88)/10*6+I88</f>
        <v>737.87198752039603</v>
      </c>
      <c r="J94" s="689">
        <f>(J98-J88)/10*6+J88</f>
        <v>861.63316174908812</v>
      </c>
      <c r="K94" s="689">
        <f>(K98-K88)/10*6+K88</f>
        <v>963.01196758302444</v>
      </c>
      <c r="L94" s="694">
        <f>(L98-L88)/10*6+L88</f>
        <v>1295.7369979438017</v>
      </c>
      <c r="M94" s="696">
        <v>5.6</v>
      </c>
    </row>
    <row r="95" spans="1:13" hidden="1" x14ac:dyDescent="0.2">
      <c r="A95" s="707">
        <f t="shared" ref="A95:H95" si="51">(A98-A88)/10*7+A88</f>
        <v>71.12</v>
      </c>
      <c r="B95" s="699">
        <f t="shared" si="51"/>
        <v>78.97</v>
      </c>
      <c r="C95" s="704">
        <f t="shared" si="51"/>
        <v>141.44</v>
      </c>
      <c r="D95" s="704">
        <f t="shared" si="51"/>
        <v>185</v>
      </c>
      <c r="E95" s="704">
        <f t="shared" si="51"/>
        <v>226.1</v>
      </c>
      <c r="F95" s="704">
        <f t="shared" si="51"/>
        <v>472.5</v>
      </c>
      <c r="G95" s="704">
        <f t="shared" si="51"/>
        <v>502.9</v>
      </c>
      <c r="H95" s="704">
        <f t="shared" si="51"/>
        <v>436.8</v>
      </c>
      <c r="I95" s="689">
        <f>(I98-I88)/10*7+I88</f>
        <v>747.80129245582111</v>
      </c>
      <c r="J95" s="689">
        <f>(J98-J88)/10*7+J88</f>
        <v>872.27655713713705</v>
      </c>
      <c r="K95" s="689">
        <f>(K98-K88)/10*7+K88</f>
        <v>978.11559296623363</v>
      </c>
      <c r="L95" s="694">
        <f>(L98-L88)/10*7+L88</f>
        <v>1313.6448454072408</v>
      </c>
      <c r="M95" s="696">
        <v>5.7</v>
      </c>
    </row>
    <row r="96" spans="1:13" hidden="1" x14ac:dyDescent="0.2">
      <c r="A96" s="707">
        <f t="shared" ref="A96:H96" si="52">(A98-A88)/10*8+A88</f>
        <v>72.48</v>
      </c>
      <c r="B96" s="699">
        <f t="shared" si="52"/>
        <v>81.179999999999993</v>
      </c>
      <c r="C96" s="704">
        <f t="shared" si="52"/>
        <v>144.96</v>
      </c>
      <c r="D96" s="704">
        <f t="shared" si="52"/>
        <v>188.3</v>
      </c>
      <c r="E96" s="704">
        <f t="shared" si="52"/>
        <v>229.4</v>
      </c>
      <c r="F96" s="704">
        <f t="shared" si="52"/>
        <v>484</v>
      </c>
      <c r="G96" s="704">
        <f t="shared" si="52"/>
        <v>515.6</v>
      </c>
      <c r="H96" s="704">
        <f t="shared" si="52"/>
        <v>452.2</v>
      </c>
      <c r="I96" s="689">
        <f>(I98-I88)/10*8+I88</f>
        <v>757.73059739124619</v>
      </c>
      <c r="J96" s="689">
        <f>(J98-J88)/10*8+J88</f>
        <v>882.91995252518598</v>
      </c>
      <c r="K96" s="689">
        <f>(K98-K88)/10*8+K88</f>
        <v>993.21921834944271</v>
      </c>
      <c r="L96" s="694">
        <f>(L98-L88)/10*8+L88</f>
        <v>1331.5526928706802</v>
      </c>
      <c r="M96" s="696">
        <v>5.8</v>
      </c>
    </row>
    <row r="97" spans="1:13" hidden="1" x14ac:dyDescent="0.2">
      <c r="A97" s="707">
        <f t="shared" ref="A97:H97" si="53">(A98-A88)/10*9+A88</f>
        <v>73.84</v>
      </c>
      <c r="B97" s="699">
        <f t="shared" si="53"/>
        <v>83.39</v>
      </c>
      <c r="C97" s="704">
        <f t="shared" si="53"/>
        <v>148.47999999999999</v>
      </c>
      <c r="D97" s="704">
        <f t="shared" si="53"/>
        <v>191.6</v>
      </c>
      <c r="E97" s="704">
        <f t="shared" si="53"/>
        <v>232.7</v>
      </c>
      <c r="F97" s="704">
        <f t="shared" si="53"/>
        <v>495.5</v>
      </c>
      <c r="G97" s="704">
        <f t="shared" si="53"/>
        <v>528.29999999999995</v>
      </c>
      <c r="H97" s="704">
        <f t="shared" si="53"/>
        <v>467.6</v>
      </c>
      <c r="I97" s="689">
        <f>(I98-I88)/10*9+I88</f>
        <v>767.65990232667127</v>
      </c>
      <c r="J97" s="689">
        <f>(J98-J88)/10*9+J88</f>
        <v>893.56334791323502</v>
      </c>
      <c r="K97" s="689">
        <f>(K98-K88)/10*9+K88</f>
        <v>1008.3228437326518</v>
      </c>
      <c r="L97" s="694">
        <f>(L98-L88)/10*9+L88</f>
        <v>1349.4605403341193</v>
      </c>
      <c r="M97" s="696">
        <v>5.9</v>
      </c>
    </row>
    <row r="98" spans="1:13" ht="15" hidden="1" x14ac:dyDescent="0.25">
      <c r="A98" s="707">
        <v>75.2</v>
      </c>
      <c r="B98" s="705">
        <v>85.6</v>
      </c>
      <c r="C98" s="708">
        <v>152</v>
      </c>
      <c r="D98" s="708">
        <v>194.9</v>
      </c>
      <c r="E98" s="708">
        <v>236</v>
      </c>
      <c r="F98" s="704">
        <v>507</v>
      </c>
      <c r="G98" s="706">
        <v>541</v>
      </c>
      <c r="H98" s="704">
        <v>483</v>
      </c>
      <c r="I98" s="689">
        <v>777.58920726209635</v>
      </c>
      <c r="J98" s="689">
        <v>904.20674330128395</v>
      </c>
      <c r="K98" s="689">
        <v>1023.426469115861</v>
      </c>
      <c r="L98" s="694">
        <v>1367.3683877975584</v>
      </c>
      <c r="M98" s="696">
        <v>6</v>
      </c>
    </row>
    <row r="99" spans="1:13" hidden="1" x14ac:dyDescent="0.2">
      <c r="A99" s="707">
        <f t="shared" ref="A99:H99" si="54">(A108-A98)/10*1+A98</f>
        <v>76.09</v>
      </c>
      <c r="B99" s="699">
        <f t="shared" si="54"/>
        <v>87.03</v>
      </c>
      <c r="C99" s="704">
        <f t="shared" si="54"/>
        <v>154.72999999999999</v>
      </c>
      <c r="D99" s="704">
        <f t="shared" si="54"/>
        <v>198.51</v>
      </c>
      <c r="E99" s="704">
        <f t="shared" si="54"/>
        <v>241.6</v>
      </c>
      <c r="F99" s="704">
        <f t="shared" si="54"/>
        <v>516.70000000000005</v>
      </c>
      <c r="G99" s="704">
        <f t="shared" si="54"/>
        <v>553.20000000000005</v>
      </c>
      <c r="H99" s="704">
        <f t="shared" si="54"/>
        <v>496.3</v>
      </c>
      <c r="I99" s="689">
        <f>(I108-I98)/10*1+I98</f>
        <v>786.80660342750002</v>
      </c>
      <c r="J99" s="689">
        <f>(J108-J98)/10*1+J98</f>
        <v>913.42610531290359</v>
      </c>
      <c r="K99" s="689">
        <f>(K108-K98)/10*1+K98</f>
        <v>1035.2657495042974</v>
      </c>
      <c r="L99" s="694">
        <f>(L108-L98)/10*1+L98</f>
        <v>1380.8412101205038</v>
      </c>
      <c r="M99" s="696">
        <v>6.1</v>
      </c>
    </row>
    <row r="100" spans="1:13" hidden="1" x14ac:dyDescent="0.2">
      <c r="A100" s="707">
        <f t="shared" ref="A100:H100" si="55">(A108-A98)/10*2+A98</f>
        <v>76.98</v>
      </c>
      <c r="B100" s="699">
        <f t="shared" si="55"/>
        <v>88.46</v>
      </c>
      <c r="C100" s="704">
        <f t="shared" si="55"/>
        <v>157.46</v>
      </c>
      <c r="D100" s="704">
        <f t="shared" si="55"/>
        <v>202.12</v>
      </c>
      <c r="E100" s="704">
        <f t="shared" si="55"/>
        <v>247.2</v>
      </c>
      <c r="F100" s="704">
        <f t="shared" si="55"/>
        <v>526.4</v>
      </c>
      <c r="G100" s="704">
        <f t="shared" si="55"/>
        <v>565.4</v>
      </c>
      <c r="H100" s="704">
        <f t="shared" si="55"/>
        <v>509.6</v>
      </c>
      <c r="I100" s="689">
        <f>(I108-I98)/10*2+I98</f>
        <v>796.02399959290369</v>
      </c>
      <c r="J100" s="689">
        <f>(J108-J98)/10*2+J98</f>
        <v>922.64546732452322</v>
      </c>
      <c r="K100" s="689">
        <f>(K108-K98)/10*2+K98</f>
        <v>1047.1050298927337</v>
      </c>
      <c r="L100" s="694">
        <f>(L108-L98)/10*2+L98</f>
        <v>1394.3140324434492</v>
      </c>
      <c r="M100" s="696">
        <v>6.2</v>
      </c>
    </row>
    <row r="101" spans="1:13" hidden="1" x14ac:dyDescent="0.2">
      <c r="A101" s="707">
        <f t="shared" ref="A101:H101" si="56">(A108-A98)/10*3+A98</f>
        <v>77.87</v>
      </c>
      <c r="B101" s="699">
        <f t="shared" si="56"/>
        <v>89.89</v>
      </c>
      <c r="C101" s="704">
        <f t="shared" si="56"/>
        <v>160.19</v>
      </c>
      <c r="D101" s="704">
        <f t="shared" si="56"/>
        <v>205.73000000000002</v>
      </c>
      <c r="E101" s="704">
        <f t="shared" si="56"/>
        <v>252.8</v>
      </c>
      <c r="F101" s="704">
        <f t="shared" si="56"/>
        <v>536.1</v>
      </c>
      <c r="G101" s="704">
        <f t="shared" si="56"/>
        <v>577.6</v>
      </c>
      <c r="H101" s="704">
        <f t="shared" si="56"/>
        <v>522.9</v>
      </c>
      <c r="I101" s="689">
        <f>(I108-I98)/10*3+I98</f>
        <v>805.24139575830736</v>
      </c>
      <c r="J101" s="689">
        <f>(J108-J98)/10*3+J98</f>
        <v>931.86482933614275</v>
      </c>
      <c r="K101" s="689">
        <f>(K108-K98)/10*3+K98</f>
        <v>1058.9443102811701</v>
      </c>
      <c r="L101" s="694">
        <f>(L108-L98)/10*3+L98</f>
        <v>1407.7868547663945</v>
      </c>
      <c r="M101" s="696">
        <v>6.3</v>
      </c>
    </row>
    <row r="102" spans="1:13" hidden="1" x14ac:dyDescent="0.2">
      <c r="A102" s="707">
        <f t="shared" ref="A102:H102" si="57">(A108-A98)/10*4+A98</f>
        <v>78.760000000000005</v>
      </c>
      <c r="B102" s="699">
        <f t="shared" si="57"/>
        <v>91.32</v>
      </c>
      <c r="C102" s="704">
        <f t="shared" si="57"/>
        <v>162.92000000000002</v>
      </c>
      <c r="D102" s="704">
        <f t="shared" si="57"/>
        <v>209.34</v>
      </c>
      <c r="E102" s="704">
        <f t="shared" si="57"/>
        <v>258.39999999999998</v>
      </c>
      <c r="F102" s="704">
        <f t="shared" si="57"/>
        <v>545.79999999999995</v>
      </c>
      <c r="G102" s="704">
        <f t="shared" si="57"/>
        <v>589.79999999999995</v>
      </c>
      <c r="H102" s="704">
        <f t="shared" si="57"/>
        <v>536.20000000000005</v>
      </c>
      <c r="I102" s="689">
        <f>(I108-I98)/10*4+I98</f>
        <v>814.45879192371103</v>
      </c>
      <c r="J102" s="689">
        <f>(J108-J98)/10*4+J98</f>
        <v>941.08419134776238</v>
      </c>
      <c r="K102" s="689">
        <f>(K108-K98)/10*4+K98</f>
        <v>1070.7835906696066</v>
      </c>
      <c r="L102" s="694">
        <f>(L108-L98)/10*4+L98</f>
        <v>1421.2596770893399</v>
      </c>
      <c r="M102" s="696">
        <v>6.4</v>
      </c>
    </row>
    <row r="103" spans="1:13" hidden="1" x14ac:dyDescent="0.2">
      <c r="A103" s="707">
        <f t="shared" ref="A103:H103" si="58">(A108-A98)/10*5+A98</f>
        <v>79.650000000000006</v>
      </c>
      <c r="B103" s="699">
        <f t="shared" si="58"/>
        <v>92.75</v>
      </c>
      <c r="C103" s="704">
        <f t="shared" si="58"/>
        <v>165.65</v>
      </c>
      <c r="D103" s="704">
        <f t="shared" si="58"/>
        <v>212.95</v>
      </c>
      <c r="E103" s="704">
        <f t="shared" si="58"/>
        <v>264</v>
      </c>
      <c r="F103" s="704">
        <f t="shared" si="58"/>
        <v>555.5</v>
      </c>
      <c r="G103" s="704">
        <f t="shared" si="58"/>
        <v>602</v>
      </c>
      <c r="H103" s="704">
        <f t="shared" si="58"/>
        <v>549.5</v>
      </c>
      <c r="I103" s="689">
        <f>(I108-I98)/10*5+I98</f>
        <v>823.6761880891147</v>
      </c>
      <c r="J103" s="689">
        <f>(J108-J98)/10*5+J98</f>
        <v>950.30355335938202</v>
      </c>
      <c r="K103" s="689">
        <f>(K108-K98)/10*5+K98</f>
        <v>1082.6228710580431</v>
      </c>
      <c r="L103" s="694">
        <f>(L108-L98)/10*5+L98</f>
        <v>1434.7324994122853</v>
      </c>
      <c r="M103" s="696">
        <v>6.5</v>
      </c>
    </row>
    <row r="104" spans="1:13" hidden="1" x14ac:dyDescent="0.2">
      <c r="A104" s="707">
        <f t="shared" ref="A104:H104" si="59">(A108-A98)/10*6+A98</f>
        <v>80.539999999999992</v>
      </c>
      <c r="B104" s="699">
        <f t="shared" si="59"/>
        <v>94.18</v>
      </c>
      <c r="C104" s="704">
        <f t="shared" si="59"/>
        <v>168.38</v>
      </c>
      <c r="D104" s="704">
        <f t="shared" si="59"/>
        <v>216.56</v>
      </c>
      <c r="E104" s="704">
        <f t="shared" si="59"/>
        <v>269.60000000000002</v>
      </c>
      <c r="F104" s="704">
        <f t="shared" si="59"/>
        <v>565.20000000000005</v>
      </c>
      <c r="G104" s="704">
        <f t="shared" si="59"/>
        <v>614.20000000000005</v>
      </c>
      <c r="H104" s="704">
        <f t="shared" si="59"/>
        <v>562.79999999999995</v>
      </c>
      <c r="I104" s="689">
        <f>(I108-I98)/10*6+I98</f>
        <v>832.89358425451849</v>
      </c>
      <c r="J104" s="689">
        <f>(J108-J98)/10*6+J98</f>
        <v>959.52291537100166</v>
      </c>
      <c r="K104" s="689">
        <f>(K108-K98)/10*6+K98</f>
        <v>1094.4621514464793</v>
      </c>
      <c r="L104" s="694">
        <f>(L108-L98)/10*6+L98</f>
        <v>1448.2053217352307</v>
      </c>
      <c r="M104" s="696">
        <v>6.6</v>
      </c>
    </row>
    <row r="105" spans="1:13" hidden="1" x14ac:dyDescent="0.2">
      <c r="A105" s="707">
        <f t="shared" ref="A105:H105" si="60">(A108-A98)/10*7+A98</f>
        <v>81.429999999999993</v>
      </c>
      <c r="B105" s="699">
        <f t="shared" si="60"/>
        <v>95.61</v>
      </c>
      <c r="C105" s="704">
        <f t="shared" si="60"/>
        <v>171.11</v>
      </c>
      <c r="D105" s="704">
        <f t="shared" si="60"/>
        <v>220.17000000000002</v>
      </c>
      <c r="E105" s="704">
        <f t="shared" si="60"/>
        <v>275.2</v>
      </c>
      <c r="F105" s="704">
        <f t="shared" si="60"/>
        <v>574.9</v>
      </c>
      <c r="G105" s="704">
        <f t="shared" si="60"/>
        <v>626.4</v>
      </c>
      <c r="H105" s="704">
        <f t="shared" si="60"/>
        <v>576.1</v>
      </c>
      <c r="I105" s="689">
        <f>(I108-I98)/10*7+I98</f>
        <v>842.11098041992216</v>
      </c>
      <c r="J105" s="689">
        <f>(J108-J98)/10*7+J98</f>
        <v>968.7422773826213</v>
      </c>
      <c r="K105" s="689">
        <f>(K108-K98)/10*7+K98</f>
        <v>1106.3014318349158</v>
      </c>
      <c r="L105" s="694">
        <f>(L108-L98)/10*7+L98</f>
        <v>1461.678144058176</v>
      </c>
      <c r="M105" s="696">
        <v>6.7</v>
      </c>
    </row>
    <row r="106" spans="1:13" hidden="1" x14ac:dyDescent="0.2">
      <c r="A106" s="707">
        <f t="shared" ref="A106:H106" si="61">(A108-A98)/10*8+A98</f>
        <v>82.32</v>
      </c>
      <c r="B106" s="699">
        <f t="shared" si="61"/>
        <v>97.04</v>
      </c>
      <c r="C106" s="704">
        <f t="shared" si="61"/>
        <v>173.84</v>
      </c>
      <c r="D106" s="704">
        <f t="shared" si="61"/>
        <v>223.78</v>
      </c>
      <c r="E106" s="704">
        <f t="shared" si="61"/>
        <v>280.8</v>
      </c>
      <c r="F106" s="704">
        <f t="shared" si="61"/>
        <v>584.6</v>
      </c>
      <c r="G106" s="704">
        <f t="shared" si="61"/>
        <v>638.6</v>
      </c>
      <c r="H106" s="704">
        <f t="shared" si="61"/>
        <v>589.4</v>
      </c>
      <c r="I106" s="689">
        <f>(I108-I98)/10*8+I98</f>
        <v>851.32837658532583</v>
      </c>
      <c r="J106" s="689">
        <f>(J108-J98)/10*8+J98</f>
        <v>977.96163939424082</v>
      </c>
      <c r="K106" s="689">
        <f>(K108-K98)/10*8+K98</f>
        <v>1118.1407122233522</v>
      </c>
      <c r="L106" s="694">
        <f>(L108-L98)/10*8+L98</f>
        <v>1475.1509663811214</v>
      </c>
      <c r="M106" s="696">
        <v>6.8</v>
      </c>
    </row>
    <row r="107" spans="1:13" hidden="1" x14ac:dyDescent="0.2">
      <c r="A107" s="707">
        <f t="shared" ref="A107:H107" si="62">(A108-A98)/10*9+A98</f>
        <v>83.21</v>
      </c>
      <c r="B107" s="699">
        <f t="shared" si="62"/>
        <v>98.47</v>
      </c>
      <c r="C107" s="704">
        <f t="shared" si="62"/>
        <v>176.57000000000002</v>
      </c>
      <c r="D107" s="704">
        <f t="shared" si="62"/>
        <v>227.39</v>
      </c>
      <c r="E107" s="704">
        <f t="shared" si="62"/>
        <v>286.39999999999998</v>
      </c>
      <c r="F107" s="704">
        <f t="shared" si="62"/>
        <v>594.29999999999995</v>
      </c>
      <c r="G107" s="704">
        <f t="shared" si="62"/>
        <v>650.79999999999995</v>
      </c>
      <c r="H107" s="704">
        <f t="shared" si="62"/>
        <v>602.70000000000005</v>
      </c>
      <c r="I107" s="689">
        <f>(I108-I98)/10*9+I98</f>
        <v>860.5457727507295</v>
      </c>
      <c r="J107" s="689">
        <f>(J108-J98)/10*9+J98</f>
        <v>987.18100140586046</v>
      </c>
      <c r="K107" s="689">
        <f>(K108-K98)/10*9+K98</f>
        <v>1129.9799926117885</v>
      </c>
      <c r="L107" s="694">
        <f>(L108-L98)/10*9+L98</f>
        <v>1488.6237887040668</v>
      </c>
      <c r="M107" s="696">
        <v>6.9</v>
      </c>
    </row>
    <row r="108" spans="1:13" ht="15" hidden="1" x14ac:dyDescent="0.25">
      <c r="A108" s="707">
        <v>84.1</v>
      </c>
      <c r="B108" s="705">
        <v>99.9</v>
      </c>
      <c r="C108" s="708">
        <v>179.3</v>
      </c>
      <c r="D108" s="708">
        <v>231</v>
      </c>
      <c r="E108" s="708">
        <v>292</v>
      </c>
      <c r="F108" s="704">
        <v>604</v>
      </c>
      <c r="G108" s="706">
        <v>663</v>
      </c>
      <c r="H108" s="704">
        <v>616</v>
      </c>
      <c r="I108" s="689">
        <v>869.76316891613317</v>
      </c>
      <c r="J108" s="689">
        <v>996.40036341748009</v>
      </c>
      <c r="K108" s="689">
        <v>1141.8192730002249</v>
      </c>
      <c r="L108" s="694">
        <v>1502.0966110270122</v>
      </c>
      <c r="M108" s="696">
        <v>7</v>
      </c>
    </row>
    <row r="109" spans="1:13" hidden="1" x14ac:dyDescent="0.2">
      <c r="A109" s="707">
        <f t="shared" ref="A109:H109" si="63">(A118-A108)/10*1+A108</f>
        <v>84.759999999999991</v>
      </c>
      <c r="B109" s="704">
        <f t="shared" si="63"/>
        <v>100.85000000000001</v>
      </c>
      <c r="C109" s="704">
        <f t="shared" si="63"/>
        <v>181.66000000000003</v>
      </c>
      <c r="D109" s="704">
        <f t="shared" si="63"/>
        <v>233.86</v>
      </c>
      <c r="E109" s="704">
        <f t="shared" si="63"/>
        <v>297.8</v>
      </c>
      <c r="F109" s="704">
        <f t="shared" si="63"/>
        <v>612.6</v>
      </c>
      <c r="G109" s="704">
        <f t="shared" si="63"/>
        <v>675.3</v>
      </c>
      <c r="H109" s="704">
        <f t="shared" si="63"/>
        <v>629.6</v>
      </c>
      <c r="I109" s="689">
        <f>(I118-I108)/10*1+I108</f>
        <v>878.17811058361599</v>
      </c>
      <c r="J109" s="689">
        <f>(J118-J108)/10*1+J108</f>
        <v>1004.7412383826354</v>
      </c>
      <c r="K109" s="689">
        <f>(K118-K108)/10*1+K108</f>
        <v>1155.5018306314973</v>
      </c>
      <c r="L109" s="694">
        <f>(L118-L108)/10*1+L108</f>
        <v>1512.7934353709682</v>
      </c>
      <c r="M109" s="696">
        <v>7.1</v>
      </c>
    </row>
    <row r="110" spans="1:13" hidden="1" x14ac:dyDescent="0.2">
      <c r="A110" s="707">
        <f t="shared" ref="A110:H110" si="64">(A118-A108)/10*2+A108</f>
        <v>85.42</v>
      </c>
      <c r="B110" s="704">
        <f t="shared" si="64"/>
        <v>101.80000000000001</v>
      </c>
      <c r="C110" s="704">
        <f t="shared" si="64"/>
        <v>184.02</v>
      </c>
      <c r="D110" s="704">
        <f t="shared" si="64"/>
        <v>236.72</v>
      </c>
      <c r="E110" s="704">
        <f t="shared" si="64"/>
        <v>303.60000000000002</v>
      </c>
      <c r="F110" s="704">
        <f t="shared" si="64"/>
        <v>621.20000000000005</v>
      </c>
      <c r="G110" s="704">
        <f t="shared" si="64"/>
        <v>687.6</v>
      </c>
      <c r="H110" s="704">
        <f t="shared" si="64"/>
        <v>643.20000000000005</v>
      </c>
      <c r="I110" s="689">
        <f>(I118-I108)/10*2+I108</f>
        <v>886.59305225109881</v>
      </c>
      <c r="J110" s="689">
        <f>(J118-J108)/10*2+J108</f>
        <v>1013.0821133477907</v>
      </c>
      <c r="K110" s="689">
        <f>(K118-K108)/10*2+K108</f>
        <v>1169.1843882627697</v>
      </c>
      <c r="L110" s="694">
        <f>(L118-L108)/10*2+L108</f>
        <v>1523.4902597149239</v>
      </c>
      <c r="M110" s="696">
        <v>7.2</v>
      </c>
    </row>
    <row r="111" spans="1:13" hidden="1" x14ac:dyDescent="0.2">
      <c r="A111" s="707">
        <f t="shared" ref="A111:H111" si="65">(A118-A108)/10*3+A108</f>
        <v>86.08</v>
      </c>
      <c r="B111" s="704">
        <f t="shared" si="65"/>
        <v>102.75</v>
      </c>
      <c r="C111" s="704">
        <f t="shared" si="65"/>
        <v>186.38</v>
      </c>
      <c r="D111" s="704">
        <f t="shared" si="65"/>
        <v>239.58</v>
      </c>
      <c r="E111" s="704">
        <f t="shared" si="65"/>
        <v>309.39999999999998</v>
      </c>
      <c r="F111" s="704">
        <f t="shared" si="65"/>
        <v>629.79999999999995</v>
      </c>
      <c r="G111" s="704">
        <f t="shared" si="65"/>
        <v>699.9</v>
      </c>
      <c r="H111" s="704">
        <f t="shared" si="65"/>
        <v>656.8</v>
      </c>
      <c r="I111" s="689">
        <f>(I118-I108)/10*3+I108</f>
        <v>895.00799391858152</v>
      </c>
      <c r="J111" s="689">
        <f>(J118-J108)/10*3+J108</f>
        <v>1021.4229883129459</v>
      </c>
      <c r="K111" s="689">
        <f>(K118-K108)/10*3+K108</f>
        <v>1182.8669458940421</v>
      </c>
      <c r="L111" s="694">
        <f>(L118-L108)/10*3+L108</f>
        <v>1534.1870840588799</v>
      </c>
      <c r="M111" s="696">
        <v>7.3</v>
      </c>
    </row>
    <row r="112" spans="1:13" hidden="1" x14ac:dyDescent="0.2">
      <c r="A112" s="707">
        <f t="shared" ref="A112:H112" si="66">(A118-A108)/10*4+A108</f>
        <v>86.74</v>
      </c>
      <c r="B112" s="704">
        <f t="shared" si="66"/>
        <v>103.7</v>
      </c>
      <c r="C112" s="704">
        <f t="shared" si="66"/>
        <v>188.74</v>
      </c>
      <c r="D112" s="704">
        <f t="shared" si="66"/>
        <v>242.44</v>
      </c>
      <c r="E112" s="704">
        <f t="shared" si="66"/>
        <v>315.2</v>
      </c>
      <c r="F112" s="704">
        <f t="shared" si="66"/>
        <v>638.4</v>
      </c>
      <c r="G112" s="704">
        <f t="shared" si="66"/>
        <v>712.2</v>
      </c>
      <c r="H112" s="704">
        <f t="shared" si="66"/>
        <v>670.4</v>
      </c>
      <c r="I112" s="689">
        <f>(I118-I108)/10*4+I108</f>
        <v>903.42293558606434</v>
      </c>
      <c r="J112" s="689">
        <f>(J118-J108)/10*4+J108</f>
        <v>1029.7638632781013</v>
      </c>
      <c r="K112" s="689">
        <f>(K118-K108)/10*4+K108</f>
        <v>1196.5495035253145</v>
      </c>
      <c r="L112" s="694">
        <f>(L118-L108)/10*4+L108</f>
        <v>1544.8839084028357</v>
      </c>
      <c r="M112" s="696">
        <v>7.4</v>
      </c>
    </row>
    <row r="113" spans="1:13" hidden="1" x14ac:dyDescent="0.2">
      <c r="A113" s="707">
        <f t="shared" ref="A113:H113" si="67">(A118-A108)/10*5+A108</f>
        <v>87.4</v>
      </c>
      <c r="B113" s="704">
        <f t="shared" si="67"/>
        <v>104.65</v>
      </c>
      <c r="C113" s="704">
        <f t="shared" si="67"/>
        <v>191.10000000000002</v>
      </c>
      <c r="D113" s="704">
        <f t="shared" si="67"/>
        <v>245.3</v>
      </c>
      <c r="E113" s="704">
        <f t="shared" si="67"/>
        <v>321</v>
      </c>
      <c r="F113" s="704">
        <f t="shared" si="67"/>
        <v>647</v>
      </c>
      <c r="G113" s="704">
        <f t="shared" si="67"/>
        <v>724.5</v>
      </c>
      <c r="H113" s="704">
        <f t="shared" si="67"/>
        <v>684</v>
      </c>
      <c r="I113" s="689">
        <f>(I118-I108)/10*5+I108</f>
        <v>911.83787725354716</v>
      </c>
      <c r="J113" s="689">
        <f>(J118-J108)/10*5+J108</f>
        <v>1038.1047382432566</v>
      </c>
      <c r="K113" s="689">
        <f>(K118-K108)/10*5+K108</f>
        <v>1210.232061156587</v>
      </c>
      <c r="L113" s="694">
        <f>(L118-L108)/10*5+L108</f>
        <v>1555.5807327467917</v>
      </c>
      <c r="M113" s="696">
        <v>7.5</v>
      </c>
    </row>
    <row r="114" spans="1:13" hidden="1" x14ac:dyDescent="0.2">
      <c r="A114" s="707">
        <f t="shared" ref="A114:H114" si="68">(A118-A108)/10*6+A108</f>
        <v>88.06</v>
      </c>
      <c r="B114" s="704">
        <f t="shared" si="68"/>
        <v>105.60000000000001</v>
      </c>
      <c r="C114" s="704">
        <f t="shared" si="68"/>
        <v>193.46</v>
      </c>
      <c r="D114" s="704">
        <f t="shared" si="68"/>
        <v>248.16000000000003</v>
      </c>
      <c r="E114" s="704">
        <f t="shared" si="68"/>
        <v>326.8</v>
      </c>
      <c r="F114" s="704">
        <f t="shared" si="68"/>
        <v>655.6</v>
      </c>
      <c r="G114" s="704">
        <f t="shared" si="68"/>
        <v>736.8</v>
      </c>
      <c r="H114" s="704">
        <f t="shared" si="68"/>
        <v>697.6</v>
      </c>
      <c r="I114" s="689">
        <f>(I118-I108)/10*6+I108</f>
        <v>920.25281892102998</v>
      </c>
      <c r="J114" s="689">
        <f>(J118-J108)/10*6+J108</f>
        <v>1046.4456132084117</v>
      </c>
      <c r="K114" s="689">
        <f>(K118-K108)/10*6+K108</f>
        <v>1223.9146187878596</v>
      </c>
      <c r="L114" s="694">
        <f>(L118-L108)/10*6+L108</f>
        <v>1566.2775570907477</v>
      </c>
      <c r="M114" s="696">
        <v>7.6</v>
      </c>
    </row>
    <row r="115" spans="1:13" hidden="1" x14ac:dyDescent="0.2">
      <c r="A115" s="707">
        <f t="shared" ref="A115:H115" si="69">(A118-A108)/10*7+A108</f>
        <v>88.72</v>
      </c>
      <c r="B115" s="704">
        <f t="shared" si="69"/>
        <v>106.55000000000001</v>
      </c>
      <c r="C115" s="704">
        <f t="shared" si="69"/>
        <v>195.82</v>
      </c>
      <c r="D115" s="704">
        <f t="shared" si="69"/>
        <v>251.02</v>
      </c>
      <c r="E115" s="704">
        <f t="shared" si="69"/>
        <v>332.6</v>
      </c>
      <c r="F115" s="704">
        <f t="shared" si="69"/>
        <v>664.2</v>
      </c>
      <c r="G115" s="704">
        <f t="shared" si="69"/>
        <v>749.1</v>
      </c>
      <c r="H115" s="704">
        <f t="shared" si="69"/>
        <v>711.2</v>
      </c>
      <c r="I115" s="689">
        <f>(I118-I108)/10*7+I108</f>
        <v>928.66776058851281</v>
      </c>
      <c r="J115" s="689">
        <f>(J118-J108)/10*7+J108</f>
        <v>1054.786488173567</v>
      </c>
      <c r="K115" s="689">
        <f>(K118-K108)/10*7+K108</f>
        <v>1237.597176419132</v>
      </c>
      <c r="L115" s="694">
        <f>(L118-L108)/10*7+L108</f>
        <v>1576.9743814347034</v>
      </c>
      <c r="M115" s="696">
        <v>7.7</v>
      </c>
    </row>
    <row r="116" spans="1:13" hidden="1" x14ac:dyDescent="0.2">
      <c r="A116" s="707">
        <f t="shared" ref="A116:H116" si="70">(A118-A108)/10*8+A108</f>
        <v>89.38</v>
      </c>
      <c r="B116" s="704">
        <f t="shared" si="70"/>
        <v>107.5</v>
      </c>
      <c r="C116" s="704">
        <f t="shared" si="70"/>
        <v>198.18</v>
      </c>
      <c r="D116" s="704">
        <f t="shared" si="70"/>
        <v>253.88000000000002</v>
      </c>
      <c r="E116" s="704">
        <f t="shared" si="70"/>
        <v>338.4</v>
      </c>
      <c r="F116" s="704">
        <f t="shared" si="70"/>
        <v>672.8</v>
      </c>
      <c r="G116" s="704">
        <f t="shared" si="70"/>
        <v>761.4</v>
      </c>
      <c r="H116" s="704">
        <f t="shared" si="70"/>
        <v>724.8</v>
      </c>
      <c r="I116" s="689">
        <f>(I118-I108)/10*8+I108</f>
        <v>937.08270225599551</v>
      </c>
      <c r="J116" s="689">
        <f>(J118-J108)/10*8+J108</f>
        <v>1063.1273631387223</v>
      </c>
      <c r="K116" s="689">
        <f>(K118-K108)/10*8+K108</f>
        <v>1251.2797340504044</v>
      </c>
      <c r="L116" s="694">
        <f>(L118-L108)/10*8+L108</f>
        <v>1587.6712057786594</v>
      </c>
      <c r="M116" s="696">
        <v>7.8</v>
      </c>
    </row>
    <row r="117" spans="1:13" hidden="1" x14ac:dyDescent="0.2">
      <c r="A117" s="707">
        <f t="shared" ref="A117:H117" si="71">(A118-A108)/10*9+A108</f>
        <v>90.04</v>
      </c>
      <c r="B117" s="704">
        <f t="shared" si="71"/>
        <v>108.45</v>
      </c>
      <c r="C117" s="704">
        <f t="shared" si="71"/>
        <v>200.54000000000002</v>
      </c>
      <c r="D117" s="704">
        <f t="shared" si="71"/>
        <v>256.74</v>
      </c>
      <c r="E117" s="704">
        <f t="shared" si="71"/>
        <v>344.2</v>
      </c>
      <c r="F117" s="704">
        <f t="shared" si="71"/>
        <v>681.4</v>
      </c>
      <c r="G117" s="704">
        <f t="shared" si="71"/>
        <v>773.7</v>
      </c>
      <c r="H117" s="704">
        <f t="shared" si="71"/>
        <v>738.4</v>
      </c>
      <c r="I117" s="689">
        <f>(I118-I108)/10*9+I108</f>
        <v>945.49764392347834</v>
      </c>
      <c r="J117" s="689">
        <f>(J118-J108)/10*9+J108</f>
        <v>1071.4682381038776</v>
      </c>
      <c r="K117" s="689">
        <f>(K118-K108)/10*9+K108</f>
        <v>1264.9622916816768</v>
      </c>
      <c r="L117" s="694">
        <f>(L118-L108)/10*9+L108</f>
        <v>1598.3680301226152</v>
      </c>
      <c r="M117" s="696">
        <v>7.9</v>
      </c>
    </row>
    <row r="118" spans="1:13" ht="15" hidden="1" x14ac:dyDescent="0.25">
      <c r="A118" s="707">
        <v>90.7</v>
      </c>
      <c r="B118" s="709">
        <v>109.4</v>
      </c>
      <c r="C118" s="708">
        <v>202.9</v>
      </c>
      <c r="D118" s="708">
        <v>259.60000000000002</v>
      </c>
      <c r="E118" s="708">
        <v>350</v>
      </c>
      <c r="F118" s="704">
        <v>690</v>
      </c>
      <c r="G118" s="706">
        <v>786</v>
      </c>
      <c r="H118" s="704">
        <v>752</v>
      </c>
      <c r="I118" s="689">
        <v>953.91258559096116</v>
      </c>
      <c r="J118" s="689">
        <v>1079.8091130690329</v>
      </c>
      <c r="K118" s="689">
        <v>1278.6448493129492</v>
      </c>
      <c r="L118" s="694">
        <v>1609.0648544665712</v>
      </c>
      <c r="M118" s="696">
        <v>8</v>
      </c>
    </row>
    <row r="119" spans="1:13" hidden="1" x14ac:dyDescent="0.2">
      <c r="A119" s="707">
        <f t="shared" ref="A119:H119" si="72">(A128-A118)/10*1+A118</f>
        <v>91.09</v>
      </c>
      <c r="B119" s="704">
        <f t="shared" si="72"/>
        <v>110.36</v>
      </c>
      <c r="C119" s="704">
        <f t="shared" si="72"/>
        <v>204.11</v>
      </c>
      <c r="D119" s="704">
        <f t="shared" si="72"/>
        <v>262.54000000000002</v>
      </c>
      <c r="E119" s="704">
        <f t="shared" si="72"/>
        <v>355.3</v>
      </c>
      <c r="F119" s="704">
        <f t="shared" si="72"/>
        <v>699.3</v>
      </c>
      <c r="G119" s="704">
        <f t="shared" si="72"/>
        <v>799.1</v>
      </c>
      <c r="H119" s="704">
        <f t="shared" si="72"/>
        <v>765.3</v>
      </c>
      <c r="I119" s="689">
        <f>(I128-I118)/10*1+I118</f>
        <v>959.0790576994375</v>
      </c>
      <c r="J119" s="689">
        <f>(J128-J118)/10*1+J118</f>
        <v>1083.8874084598876</v>
      </c>
      <c r="K119" s="689">
        <f>(K128-K118)/10*1+K118</f>
        <v>1284.3629323427117</v>
      </c>
      <c r="L119" s="694">
        <f>(L128-L118)/10*1+L118</f>
        <v>1618.276460840887</v>
      </c>
      <c r="M119" s="696">
        <v>8.1</v>
      </c>
    </row>
    <row r="120" spans="1:13" hidden="1" x14ac:dyDescent="0.2">
      <c r="A120" s="707">
        <f t="shared" ref="A120:H120" si="73">(A128-A118)/10*2+A118</f>
        <v>91.48</v>
      </c>
      <c r="B120" s="704">
        <f t="shared" si="73"/>
        <v>111.32000000000001</v>
      </c>
      <c r="C120" s="704">
        <f t="shared" si="73"/>
        <v>205.32</v>
      </c>
      <c r="D120" s="704">
        <f t="shared" si="73"/>
        <v>265.48</v>
      </c>
      <c r="E120" s="704">
        <f t="shared" si="73"/>
        <v>360.6</v>
      </c>
      <c r="F120" s="704">
        <f t="shared" si="73"/>
        <v>708.6</v>
      </c>
      <c r="G120" s="704">
        <f t="shared" si="73"/>
        <v>812.2</v>
      </c>
      <c r="H120" s="704">
        <f t="shared" si="73"/>
        <v>778.6</v>
      </c>
      <c r="I120" s="689">
        <f>(I128-I118)/10*2+I118</f>
        <v>964.24552980791384</v>
      </c>
      <c r="J120" s="689">
        <f>(J128-J118)/10*2+J118</f>
        <v>1087.9657038507423</v>
      </c>
      <c r="K120" s="689">
        <f>(K128-K118)/10*2+K118</f>
        <v>1290.0810153724744</v>
      </c>
      <c r="L120" s="694">
        <f>(L128-L118)/10*2+L118</f>
        <v>1627.4880672152026</v>
      </c>
      <c r="M120" s="696">
        <v>8.1999999999999993</v>
      </c>
    </row>
    <row r="121" spans="1:13" hidden="1" x14ac:dyDescent="0.2">
      <c r="A121" s="707">
        <f t="shared" ref="A121:H121" si="74">(A128-A118)/10*3+A118</f>
        <v>91.87</v>
      </c>
      <c r="B121" s="704">
        <f t="shared" si="74"/>
        <v>112.28</v>
      </c>
      <c r="C121" s="704">
        <f t="shared" si="74"/>
        <v>206.53</v>
      </c>
      <c r="D121" s="704">
        <f t="shared" si="74"/>
        <v>268.42</v>
      </c>
      <c r="E121" s="704">
        <f t="shared" si="74"/>
        <v>365.9</v>
      </c>
      <c r="F121" s="704">
        <f t="shared" si="74"/>
        <v>717.9</v>
      </c>
      <c r="G121" s="704">
        <f t="shared" si="74"/>
        <v>825.3</v>
      </c>
      <c r="H121" s="704">
        <f t="shared" si="74"/>
        <v>791.9</v>
      </c>
      <c r="I121" s="689">
        <f>(I128-I118)/10*3+I118</f>
        <v>969.41200191639007</v>
      </c>
      <c r="J121" s="689">
        <f>(J128-J118)/10*3+J118</f>
        <v>1092.043999241597</v>
      </c>
      <c r="K121" s="689">
        <f>(K128-K118)/10*3+K118</f>
        <v>1295.799098402237</v>
      </c>
      <c r="L121" s="694">
        <f>(L128-L118)/10*3+L118</f>
        <v>1636.6996735895184</v>
      </c>
      <c r="M121" s="696">
        <v>8.3000000000000007</v>
      </c>
    </row>
    <row r="122" spans="1:13" hidden="1" x14ac:dyDescent="0.2">
      <c r="A122" s="707">
        <f t="shared" ref="A122:H122" si="75">(A128-A118)/10*4+A118</f>
        <v>92.26</v>
      </c>
      <c r="B122" s="704">
        <f t="shared" si="75"/>
        <v>113.24000000000001</v>
      </c>
      <c r="C122" s="704">
        <f t="shared" si="75"/>
        <v>207.74</v>
      </c>
      <c r="D122" s="704">
        <f t="shared" si="75"/>
        <v>271.36</v>
      </c>
      <c r="E122" s="704">
        <f t="shared" si="75"/>
        <v>371.2</v>
      </c>
      <c r="F122" s="704">
        <f t="shared" si="75"/>
        <v>727.2</v>
      </c>
      <c r="G122" s="704">
        <f t="shared" si="75"/>
        <v>838.4</v>
      </c>
      <c r="H122" s="704">
        <f t="shared" si="75"/>
        <v>805.2</v>
      </c>
      <c r="I122" s="689">
        <f>(I128-I118)/10*4+I118</f>
        <v>974.57847402486641</v>
      </c>
      <c r="J122" s="689">
        <f>(J128-J118)/10*4+J118</f>
        <v>1096.1222946324517</v>
      </c>
      <c r="K122" s="689">
        <f>(K128-K118)/10*4+K118</f>
        <v>1301.5171814319997</v>
      </c>
      <c r="L122" s="694">
        <f>(L128-L118)/10*4+L118</f>
        <v>1645.911279963834</v>
      </c>
      <c r="M122" s="696">
        <v>8.4</v>
      </c>
    </row>
    <row r="123" spans="1:13" hidden="1" x14ac:dyDescent="0.2">
      <c r="A123" s="707">
        <f t="shared" ref="A123:H123" si="76">(A128-A118)/10*5+A118</f>
        <v>92.65</v>
      </c>
      <c r="B123" s="704">
        <f t="shared" si="76"/>
        <v>114.2</v>
      </c>
      <c r="C123" s="704">
        <f t="shared" si="76"/>
        <v>208.95</v>
      </c>
      <c r="D123" s="704">
        <f t="shared" si="76"/>
        <v>274.3</v>
      </c>
      <c r="E123" s="704">
        <f t="shared" si="76"/>
        <v>376.5</v>
      </c>
      <c r="F123" s="704">
        <f t="shared" si="76"/>
        <v>736.5</v>
      </c>
      <c r="G123" s="704">
        <f t="shared" si="76"/>
        <v>851.5</v>
      </c>
      <c r="H123" s="704">
        <f t="shared" si="76"/>
        <v>818.5</v>
      </c>
      <c r="I123" s="689">
        <f>(I128-I118)/10*5+I118</f>
        <v>979.74494613334275</v>
      </c>
      <c r="J123" s="689">
        <f>(J128-J118)/10*5+J118</f>
        <v>1100.2005900233066</v>
      </c>
      <c r="K123" s="689">
        <f>(K128-K118)/10*5+K118</f>
        <v>1307.2352644617622</v>
      </c>
      <c r="L123" s="694">
        <f>(L128-L118)/10*5+L118</f>
        <v>1655.1228863381498</v>
      </c>
      <c r="M123" s="696">
        <v>8.5</v>
      </c>
    </row>
    <row r="124" spans="1:13" hidden="1" x14ac:dyDescent="0.2">
      <c r="A124" s="707">
        <f t="shared" ref="A124:H124" si="77">(A128-A118)/10*6+A118</f>
        <v>93.039999999999992</v>
      </c>
      <c r="B124" s="704">
        <f t="shared" si="77"/>
        <v>115.16</v>
      </c>
      <c r="C124" s="704">
        <f t="shared" si="77"/>
        <v>210.16</v>
      </c>
      <c r="D124" s="704">
        <f t="shared" si="77"/>
        <v>277.24</v>
      </c>
      <c r="E124" s="704">
        <f t="shared" si="77"/>
        <v>381.8</v>
      </c>
      <c r="F124" s="704">
        <f t="shared" si="77"/>
        <v>745.8</v>
      </c>
      <c r="G124" s="704">
        <f t="shared" si="77"/>
        <v>864.6</v>
      </c>
      <c r="H124" s="704">
        <f t="shared" si="77"/>
        <v>831.8</v>
      </c>
      <c r="I124" s="689">
        <f>(I128-I118)/10*6+I118</f>
        <v>984.91141824181909</v>
      </c>
      <c r="J124" s="689">
        <f>(J128-J118)/10*6+J118</f>
        <v>1104.2788854141613</v>
      </c>
      <c r="K124" s="689">
        <f>(K128-K118)/10*6+K118</f>
        <v>1312.9533474915247</v>
      </c>
      <c r="L124" s="694">
        <f>(L128-L118)/10*6+L118</f>
        <v>1664.3344927124656</v>
      </c>
      <c r="M124" s="696">
        <v>8.6</v>
      </c>
    </row>
    <row r="125" spans="1:13" hidden="1" x14ac:dyDescent="0.2">
      <c r="A125" s="707">
        <f t="shared" ref="A125:H125" si="78">(A128-A118)/10*7+A118</f>
        <v>93.429999999999993</v>
      </c>
      <c r="B125" s="704">
        <f t="shared" si="78"/>
        <v>116.12</v>
      </c>
      <c r="C125" s="704">
        <f t="shared" si="78"/>
        <v>211.37</v>
      </c>
      <c r="D125" s="704">
        <f t="shared" si="78"/>
        <v>280.18</v>
      </c>
      <c r="E125" s="704">
        <f t="shared" si="78"/>
        <v>387.1</v>
      </c>
      <c r="F125" s="704">
        <f t="shared" si="78"/>
        <v>755.1</v>
      </c>
      <c r="G125" s="704">
        <f t="shared" si="78"/>
        <v>877.7</v>
      </c>
      <c r="H125" s="704">
        <f t="shared" si="78"/>
        <v>845.1</v>
      </c>
      <c r="I125" s="689">
        <f>(I128-I118)/10*7+I118</f>
        <v>990.07789035029543</v>
      </c>
      <c r="J125" s="689">
        <f>(J128-J118)/10*7+J118</f>
        <v>1108.357180805016</v>
      </c>
      <c r="K125" s="689">
        <f>(K128-K118)/10*7+K118</f>
        <v>1318.6714305212874</v>
      </c>
      <c r="L125" s="694">
        <f>(L128-L118)/10*7+L118</f>
        <v>1673.5460990867812</v>
      </c>
      <c r="M125" s="696">
        <v>8.6999999999999993</v>
      </c>
    </row>
    <row r="126" spans="1:13" hidden="1" x14ac:dyDescent="0.2">
      <c r="A126" s="707">
        <f t="shared" ref="A126:H126" si="79">(A128-A118)/10*8+A118</f>
        <v>93.82</v>
      </c>
      <c r="B126" s="704">
        <f t="shared" si="79"/>
        <v>117.08</v>
      </c>
      <c r="C126" s="704">
        <f t="shared" si="79"/>
        <v>212.58</v>
      </c>
      <c r="D126" s="704">
        <f t="shared" si="79"/>
        <v>283.12</v>
      </c>
      <c r="E126" s="704">
        <f t="shared" si="79"/>
        <v>392.4</v>
      </c>
      <c r="F126" s="704">
        <f t="shared" si="79"/>
        <v>764.4</v>
      </c>
      <c r="G126" s="704">
        <f t="shared" si="79"/>
        <v>890.8</v>
      </c>
      <c r="H126" s="704">
        <f t="shared" si="79"/>
        <v>858.4</v>
      </c>
      <c r="I126" s="689">
        <f>(I128-I118)/10*8+I118</f>
        <v>995.24436245877166</v>
      </c>
      <c r="J126" s="689">
        <f>(J128-J118)/10*8+J118</f>
        <v>1112.4354761958707</v>
      </c>
      <c r="K126" s="689">
        <f>(K128-K118)/10*8+K118</f>
        <v>1324.38951355105</v>
      </c>
      <c r="L126" s="694">
        <f>(L128-L118)/10*8+L118</f>
        <v>1682.757705461097</v>
      </c>
      <c r="M126" s="696">
        <v>8.8000000000000007</v>
      </c>
    </row>
    <row r="127" spans="1:13" hidden="1" x14ac:dyDescent="0.2">
      <c r="A127" s="707">
        <f t="shared" ref="A127:H127" si="80">(A128-A118)/10*9+A118</f>
        <v>94.21</v>
      </c>
      <c r="B127" s="704">
        <f t="shared" si="80"/>
        <v>118.04</v>
      </c>
      <c r="C127" s="704">
        <f t="shared" si="80"/>
        <v>213.79</v>
      </c>
      <c r="D127" s="704">
        <f t="shared" si="80"/>
        <v>286.06</v>
      </c>
      <c r="E127" s="704">
        <f t="shared" si="80"/>
        <v>397.7</v>
      </c>
      <c r="F127" s="704">
        <f t="shared" si="80"/>
        <v>773.7</v>
      </c>
      <c r="G127" s="704">
        <f t="shared" si="80"/>
        <v>903.9</v>
      </c>
      <c r="H127" s="704">
        <f t="shared" si="80"/>
        <v>871.7</v>
      </c>
      <c r="I127" s="689">
        <f>(I128-I118)/10*9+I118</f>
        <v>1000.410834567248</v>
      </c>
      <c r="J127" s="689">
        <f>(J128-J118)/10*9+J118</f>
        <v>1116.5137715867254</v>
      </c>
      <c r="K127" s="689">
        <f>(K128-K118)/10*9+K118</f>
        <v>1330.1075965808127</v>
      </c>
      <c r="L127" s="694">
        <f>(L128-L118)/10*9+L118</f>
        <v>1691.9693118354126</v>
      </c>
      <c r="M127" s="696">
        <v>8.9</v>
      </c>
    </row>
    <row r="128" spans="1:13" hidden="1" x14ac:dyDescent="0.2">
      <c r="A128" s="707">
        <v>94.6</v>
      </c>
      <c r="B128" s="704">
        <v>119</v>
      </c>
      <c r="C128" s="704">
        <v>215</v>
      </c>
      <c r="D128" s="704">
        <v>289</v>
      </c>
      <c r="E128" s="704">
        <v>403</v>
      </c>
      <c r="F128" s="704">
        <v>783</v>
      </c>
      <c r="G128" s="706">
        <v>917</v>
      </c>
      <c r="H128" s="704">
        <v>885</v>
      </c>
      <c r="I128" s="689">
        <v>1005.5773066757243</v>
      </c>
      <c r="J128" s="689">
        <v>1120.5920669775801</v>
      </c>
      <c r="K128" s="689">
        <v>1335.8256796105752</v>
      </c>
      <c r="L128" s="694">
        <v>1701.1809182097284</v>
      </c>
      <c r="M128" s="696">
        <v>9</v>
      </c>
    </row>
    <row r="129" spans="1:13" hidden="1" x14ac:dyDescent="0.2">
      <c r="A129" s="710"/>
      <c r="B129" s="704"/>
      <c r="C129" s="704"/>
      <c r="D129" s="704"/>
      <c r="E129" s="704"/>
      <c r="F129" s="281">
        <f t="shared" ref="F129" si="81">(F138-F128)/10*1+F128</f>
        <v>789.9</v>
      </c>
      <c r="G129" s="704">
        <f t="shared" ref="G129:H129" si="82">(G138-G128)/10*1+G128</f>
        <v>928.3</v>
      </c>
      <c r="H129" s="704">
        <f t="shared" si="82"/>
        <v>899.5</v>
      </c>
      <c r="I129" s="689">
        <f>(I138-I128)/10*1+I128</f>
        <v>1007.8487606367211</v>
      </c>
      <c r="J129" s="689">
        <f>(J138-J128)/10*1+J128</f>
        <v>1122.9187713785707</v>
      </c>
      <c r="K129" s="689">
        <f>(K138-K128)/10*1+K128</f>
        <v>1346.50200299673</v>
      </c>
      <c r="L129" s="694">
        <f>(L138-L128)/10*1+L128</f>
        <v>1706.3701183990861</v>
      </c>
      <c r="M129" s="696">
        <v>9.1</v>
      </c>
    </row>
    <row r="130" spans="1:13" hidden="1" x14ac:dyDescent="0.2">
      <c r="A130" s="710"/>
      <c r="B130" s="704"/>
      <c r="C130" s="704"/>
      <c r="D130" s="704"/>
      <c r="E130" s="704"/>
      <c r="F130" s="281">
        <f t="shared" ref="F130" si="83">(F138-F128)/10*2+F128</f>
        <v>796.8</v>
      </c>
      <c r="G130" s="704">
        <f t="shared" ref="G130:H130" si="84">(G138-G128)/10*2+G128</f>
        <v>939.6</v>
      </c>
      <c r="H130" s="704">
        <f t="shared" si="84"/>
        <v>914</v>
      </c>
      <c r="I130" s="689">
        <f>(I138-I128)/10*2+I128</f>
        <v>1010.1202145977177</v>
      </c>
      <c r="J130" s="689">
        <f>(J138-J128)/10*2+J128</f>
        <v>1125.2454757795615</v>
      </c>
      <c r="K130" s="689">
        <f>(K138-K128)/10*2+K128</f>
        <v>1357.1783263828847</v>
      </c>
      <c r="L130" s="694">
        <f>(L138-L128)/10*2+L128</f>
        <v>1711.5593185884438</v>
      </c>
      <c r="M130" s="696">
        <v>9.1999999999999993</v>
      </c>
    </row>
    <row r="131" spans="1:13" hidden="1" x14ac:dyDescent="0.2">
      <c r="A131" s="710"/>
      <c r="B131" s="704"/>
      <c r="C131" s="704"/>
      <c r="D131" s="704"/>
      <c r="E131" s="704"/>
      <c r="F131" s="281">
        <f t="shared" ref="F131" si="85">(F138-F128)/10*3+F128</f>
        <v>803.7</v>
      </c>
      <c r="G131" s="704">
        <f t="shared" ref="G131:H131" si="86">(G138-G128)/10*3+G128</f>
        <v>950.9</v>
      </c>
      <c r="H131" s="704">
        <f t="shared" si="86"/>
        <v>928.5</v>
      </c>
      <c r="I131" s="689">
        <f>(I138-I128)/10*3+I128</f>
        <v>1012.3916685587144</v>
      </c>
      <c r="J131" s="689">
        <f>(J138-J128)/10*3+J128</f>
        <v>1127.5721801805521</v>
      </c>
      <c r="K131" s="689">
        <f>(K138-K128)/10*3+K128</f>
        <v>1367.8546497690395</v>
      </c>
      <c r="L131" s="694">
        <f>(L138-L128)/10*3+L128</f>
        <v>1716.7485187778016</v>
      </c>
      <c r="M131" s="696">
        <v>9.3000000000000007</v>
      </c>
    </row>
    <row r="132" spans="1:13" hidden="1" x14ac:dyDescent="0.2">
      <c r="A132" s="710"/>
      <c r="B132" s="704"/>
      <c r="C132" s="704"/>
      <c r="D132" s="704"/>
      <c r="E132" s="704"/>
      <c r="F132" s="281">
        <f t="shared" ref="F132" si="87">(F138-F128)/10*4+F128</f>
        <v>810.6</v>
      </c>
      <c r="G132" s="704">
        <f t="shared" ref="G132:H132" si="88">(G138-G128)/10*4+G128</f>
        <v>962.2</v>
      </c>
      <c r="H132" s="704">
        <f t="shared" si="88"/>
        <v>943</v>
      </c>
      <c r="I132" s="689">
        <f>(I138-I128)/10*4+I128</f>
        <v>1014.6631225197111</v>
      </c>
      <c r="J132" s="689">
        <f>(J138-J128)/10*4+J128</f>
        <v>1129.8988845815429</v>
      </c>
      <c r="K132" s="689">
        <f>(K138-K128)/10*4+K128</f>
        <v>1378.5309731551943</v>
      </c>
      <c r="L132" s="694">
        <f>(L138-L128)/10*4+L128</f>
        <v>1721.9377189671593</v>
      </c>
      <c r="M132" s="696">
        <v>9.4</v>
      </c>
    </row>
    <row r="133" spans="1:13" hidden="1" x14ac:dyDescent="0.2">
      <c r="A133" s="710"/>
      <c r="B133" s="704"/>
      <c r="C133" s="704"/>
      <c r="D133" s="704"/>
      <c r="E133" s="704"/>
      <c r="F133" s="281">
        <v>817</v>
      </c>
      <c r="G133" s="704">
        <f t="shared" ref="G133:H133" si="89">(G138-G128)/10*5+G128</f>
        <v>973.5</v>
      </c>
      <c r="H133" s="704">
        <f t="shared" si="89"/>
        <v>957.5</v>
      </c>
      <c r="I133" s="689">
        <f>(I138-I128)/10*5+I128</f>
        <v>1016.9345764807078</v>
      </c>
      <c r="J133" s="689">
        <f>(J138-J128)/10*5+J128</f>
        <v>1132.2255889825335</v>
      </c>
      <c r="K133" s="689">
        <f>(K138-K128)/10*5+K128</f>
        <v>1389.207296541349</v>
      </c>
      <c r="L133" s="694">
        <f>(L138-L128)/10*5+L128</f>
        <v>1727.126919156517</v>
      </c>
      <c r="M133" s="696">
        <v>9.5</v>
      </c>
    </row>
    <row r="134" spans="1:13" hidden="1" x14ac:dyDescent="0.2">
      <c r="A134" s="710"/>
      <c r="B134" s="704"/>
      <c r="C134" s="704"/>
      <c r="D134" s="704"/>
      <c r="E134" s="704"/>
      <c r="F134" s="281">
        <f t="shared" ref="F134" si="90">(F138-F128)/10*6+F128</f>
        <v>824.4</v>
      </c>
      <c r="G134" s="704">
        <f t="shared" ref="G134:H134" si="91">(G138-G128)/10*6+G128</f>
        <v>984.8</v>
      </c>
      <c r="H134" s="704">
        <f t="shared" si="91"/>
        <v>972</v>
      </c>
      <c r="I134" s="689">
        <f>(I138-I128)/10*6+I128</f>
        <v>1019.2060304417045</v>
      </c>
      <c r="J134" s="689">
        <f>(J138-J128)/10*6+J128</f>
        <v>1134.5522933835241</v>
      </c>
      <c r="K134" s="689">
        <f>(K138-K128)/10*6+K128</f>
        <v>1399.883619927504</v>
      </c>
      <c r="L134" s="694">
        <f>(L138-L128)/10*6+L128</f>
        <v>1732.3161193458745</v>
      </c>
      <c r="M134" s="696">
        <v>9.6</v>
      </c>
    </row>
    <row r="135" spans="1:13" hidden="1" x14ac:dyDescent="0.2">
      <c r="A135" s="710"/>
      <c r="B135" s="704"/>
      <c r="C135" s="704"/>
      <c r="D135" s="704"/>
      <c r="E135" s="704"/>
      <c r="F135" s="281">
        <f t="shared" ref="F135" si="92">(F138-F128)/10*7+F128</f>
        <v>831.3</v>
      </c>
      <c r="G135" s="704">
        <f t="shared" ref="G135:H135" si="93">(G138-G128)/10*7+G128</f>
        <v>996.1</v>
      </c>
      <c r="H135" s="704">
        <f t="shared" si="93"/>
        <v>986.5</v>
      </c>
      <c r="I135" s="689">
        <f>(I138-I128)/10*7+I128</f>
        <v>1021.4774844027012</v>
      </c>
      <c r="J135" s="689">
        <f>(J138-J128)/10*7+J128</f>
        <v>1136.8789977845149</v>
      </c>
      <c r="K135" s="689">
        <f>(K138-K128)/10*7+K128</f>
        <v>1410.5599433136588</v>
      </c>
      <c r="L135" s="694">
        <f>(L138-L128)/10*7+L128</f>
        <v>1737.5053195352323</v>
      </c>
      <c r="M135" s="696">
        <v>9.6999999999999993</v>
      </c>
    </row>
    <row r="136" spans="1:13" hidden="1" x14ac:dyDescent="0.2">
      <c r="A136" s="710"/>
      <c r="B136" s="704"/>
      <c r="C136" s="704"/>
      <c r="D136" s="704"/>
      <c r="E136" s="704"/>
      <c r="F136" s="281">
        <f t="shared" ref="F136" si="94">(F138-F128)/10*8+F128</f>
        <v>838.2</v>
      </c>
      <c r="G136" s="704">
        <f t="shared" ref="G136:H136" si="95">(G138-G128)/10*8+G128</f>
        <v>1007.4</v>
      </c>
      <c r="H136" s="704">
        <f t="shared" si="95"/>
        <v>1001</v>
      </c>
      <c r="I136" s="689">
        <f>(I138-I128)/10*8+I128</f>
        <v>1023.7489383636979</v>
      </c>
      <c r="J136" s="689">
        <f>(J138-J128)/10*8+J128</f>
        <v>1139.2057021855055</v>
      </c>
      <c r="K136" s="689">
        <f>(K138-K128)/10*8+K128</f>
        <v>1421.2362666998135</v>
      </c>
      <c r="L136" s="694">
        <f>(L138-L128)/10*8+L128</f>
        <v>1742.69451972459</v>
      </c>
      <c r="M136" s="696">
        <v>9.8000000000000007</v>
      </c>
    </row>
    <row r="137" spans="1:13" hidden="1" x14ac:dyDescent="0.2">
      <c r="A137" s="710"/>
      <c r="B137" s="704"/>
      <c r="C137" s="704"/>
      <c r="D137" s="704"/>
      <c r="E137" s="704"/>
      <c r="F137" s="281">
        <f t="shared" ref="F137" si="96">(F138-F128)/10*9+F128</f>
        <v>845.1</v>
      </c>
      <c r="G137" s="704">
        <f t="shared" ref="G137:H137" si="97">(G138-G128)/10*9+G128</f>
        <v>1018.7</v>
      </c>
      <c r="H137" s="704">
        <f t="shared" si="97"/>
        <v>1015.5</v>
      </c>
      <c r="I137" s="689">
        <f>(I138-I128)/10*9+I128</f>
        <v>1026.0203923246945</v>
      </c>
      <c r="J137" s="689">
        <f>(J138-J128)/10*9+J128</f>
        <v>1141.5324065864963</v>
      </c>
      <c r="K137" s="689">
        <f>(K138-K128)/10*9+K128</f>
        <v>1431.9125900859683</v>
      </c>
      <c r="L137" s="694">
        <f>(L138-L128)/10*9+L128</f>
        <v>1747.8837199139477</v>
      </c>
      <c r="M137" s="696">
        <v>9.9</v>
      </c>
    </row>
    <row r="138" spans="1:13" hidden="1" x14ac:dyDescent="0.2">
      <c r="A138" s="710"/>
      <c r="B138" s="704"/>
      <c r="C138" s="704"/>
      <c r="D138" s="704"/>
      <c r="E138" s="704"/>
      <c r="F138" s="281">
        <v>852</v>
      </c>
      <c r="G138" s="706">
        <v>1030</v>
      </c>
      <c r="H138" s="704">
        <v>1030</v>
      </c>
      <c r="I138" s="689">
        <v>1028.2918462856912</v>
      </c>
      <c r="J138" s="689">
        <v>1143.8591109874869</v>
      </c>
      <c r="K138" s="689">
        <v>1442.5889134721231</v>
      </c>
      <c r="L138" s="694">
        <v>1753.0729201033055</v>
      </c>
      <c r="M138" s="696">
        <v>10</v>
      </c>
    </row>
    <row r="139" spans="1:13" hidden="1" x14ac:dyDescent="0.2">
      <c r="A139" s="710"/>
      <c r="B139" s="704"/>
      <c r="C139" s="704"/>
      <c r="D139" s="704"/>
      <c r="E139" s="704"/>
      <c r="F139" s="704"/>
      <c r="G139" s="704">
        <f t="shared" ref="G139:H139" si="98">(G148-G138)/10*1+G138</f>
        <v>1041</v>
      </c>
      <c r="H139" s="704">
        <f t="shared" si="98"/>
        <v>1043</v>
      </c>
      <c r="I139" s="689">
        <f>(I148-I138)/10*1+I138</f>
        <v>1037.7459074407061</v>
      </c>
      <c r="J139" s="689">
        <f>(J148-J138)/10*1+J138</f>
        <v>1146.9471460878717</v>
      </c>
      <c r="K139" s="689">
        <f>(K148-K138)/10*1+K138</f>
        <v>1454.0801749164707</v>
      </c>
      <c r="L139" s="694">
        <f>(L148-L138)/10*1+L138</f>
        <v>1756.6543426347123</v>
      </c>
      <c r="M139" s="696">
        <v>10.1</v>
      </c>
    </row>
    <row r="140" spans="1:13" hidden="1" x14ac:dyDescent="0.2">
      <c r="A140" s="710"/>
      <c r="B140" s="704"/>
      <c r="C140" s="704"/>
      <c r="D140" s="704"/>
      <c r="E140" s="704"/>
      <c r="F140" s="704"/>
      <c r="G140" s="704">
        <f t="shared" ref="G140:H140" si="99">(G148-G138)/10*2+G138</f>
        <v>1052</v>
      </c>
      <c r="H140" s="704">
        <f t="shared" si="99"/>
        <v>1056</v>
      </c>
      <c r="I140" s="689">
        <f>(I148-I138)/10*2+I138</f>
        <v>1047.199968595721</v>
      </c>
      <c r="J140" s="689">
        <f>(J148-J138)/10*2+J138</f>
        <v>1150.0351811882567</v>
      </c>
      <c r="K140" s="689">
        <f>(K148-K138)/10*2+K138</f>
        <v>1465.5714363608186</v>
      </c>
      <c r="L140" s="694">
        <f>(L148-L138)/10*2+L138</f>
        <v>1760.2357651661191</v>
      </c>
      <c r="M140" s="696">
        <v>10.199999999999999</v>
      </c>
    </row>
    <row r="141" spans="1:13" hidden="1" x14ac:dyDescent="0.2">
      <c r="A141" s="710"/>
      <c r="B141" s="704"/>
      <c r="C141" s="704"/>
      <c r="D141" s="704"/>
      <c r="E141" s="704"/>
      <c r="F141" s="704"/>
      <c r="G141" s="704">
        <f t="shared" ref="G141:H141" si="100">(G148-G138)/10*3+G138</f>
        <v>1063</v>
      </c>
      <c r="H141" s="704">
        <f t="shared" si="100"/>
        <v>1069</v>
      </c>
      <c r="I141" s="689">
        <f>(I148-I138)/10*3+I138</f>
        <v>1056.6540297507361</v>
      </c>
      <c r="J141" s="689">
        <f>(J148-J138)/10*3+J138</f>
        <v>1153.1232162886417</v>
      </c>
      <c r="K141" s="689">
        <f>(K148-K138)/10*3+K138</f>
        <v>1477.0626978051662</v>
      </c>
      <c r="L141" s="694">
        <f>(L148-L138)/10*3+L138</f>
        <v>1763.8171876975259</v>
      </c>
      <c r="M141" s="696">
        <v>10.3</v>
      </c>
    </row>
    <row r="142" spans="1:13" hidden="1" x14ac:dyDescent="0.2">
      <c r="A142" s="710"/>
      <c r="B142" s="704"/>
      <c r="C142" s="704"/>
      <c r="D142" s="704"/>
      <c r="E142" s="704"/>
      <c r="F142" s="704"/>
      <c r="G142" s="704">
        <f t="shared" ref="G142:H142" si="101">(G148-G138)/10*4+G138</f>
        <v>1074</v>
      </c>
      <c r="H142" s="704">
        <f t="shared" si="101"/>
        <v>1082</v>
      </c>
      <c r="I142" s="689">
        <f>(I148-I138)/10*4+I138</f>
        <v>1066.1080909057509</v>
      </c>
      <c r="J142" s="689">
        <f>(J148-J138)/10*4+J138</f>
        <v>1156.2112513890265</v>
      </c>
      <c r="K142" s="689">
        <f>(K148-K138)/10*4+K138</f>
        <v>1488.553959249514</v>
      </c>
      <c r="L142" s="694">
        <f>(L148-L138)/10*4+L138</f>
        <v>1767.3986102289327</v>
      </c>
      <c r="M142" s="696">
        <v>10.4</v>
      </c>
    </row>
    <row r="143" spans="1:13" hidden="1" x14ac:dyDescent="0.2">
      <c r="A143" s="710"/>
      <c r="B143" s="704"/>
      <c r="C143" s="704"/>
      <c r="D143" s="704"/>
      <c r="E143" s="704"/>
      <c r="F143" s="704"/>
      <c r="G143" s="704">
        <f t="shared" ref="G143:H143" si="102">(G148-G138)/10*5+G138</f>
        <v>1085</v>
      </c>
      <c r="H143" s="704">
        <f t="shared" si="102"/>
        <v>1095</v>
      </c>
      <c r="I143" s="689">
        <f>(I148-I138)/10*5+I138</f>
        <v>1075.5621520607658</v>
      </c>
      <c r="J143" s="689">
        <f>(J148-J138)/10*5+J138</f>
        <v>1159.2992864894113</v>
      </c>
      <c r="K143" s="689">
        <f>(K148-K138)/10*5+K138</f>
        <v>1500.0452206938617</v>
      </c>
      <c r="L143" s="694">
        <f>(L148-L138)/10*5+L138</f>
        <v>1770.9800327603398</v>
      </c>
      <c r="M143" s="696">
        <v>10.5</v>
      </c>
    </row>
    <row r="144" spans="1:13" hidden="1" x14ac:dyDescent="0.2">
      <c r="A144" s="710"/>
      <c r="B144" s="704"/>
      <c r="C144" s="704"/>
      <c r="D144" s="704"/>
      <c r="E144" s="704"/>
      <c r="F144" s="704"/>
      <c r="G144" s="704">
        <f t="shared" ref="G144:H144" si="103">(G148-G138)/10*6+G138</f>
        <v>1096</v>
      </c>
      <c r="H144" s="704">
        <f t="shared" si="103"/>
        <v>1108</v>
      </c>
      <c r="I144" s="689">
        <f>(I148-I138)/10*6+I138</f>
        <v>1085.0162132157807</v>
      </c>
      <c r="J144" s="689">
        <f>(J148-J138)/10*6+J138</f>
        <v>1162.3873215897963</v>
      </c>
      <c r="K144" s="689">
        <f>(K148-K138)/10*6+K138</f>
        <v>1511.5364821382093</v>
      </c>
      <c r="L144" s="694">
        <f>(L148-L138)/10*6+L138</f>
        <v>1774.5614552917466</v>
      </c>
      <c r="M144" s="696">
        <v>10.6</v>
      </c>
    </row>
    <row r="145" spans="1:13" hidden="1" x14ac:dyDescent="0.2">
      <c r="A145" s="710"/>
      <c r="B145" s="704"/>
      <c r="C145" s="704"/>
      <c r="D145" s="704"/>
      <c r="E145" s="704"/>
      <c r="F145" s="704"/>
      <c r="G145" s="704">
        <f t="shared" ref="G145:H145" si="104">(G148-G138)/10*7+G138</f>
        <v>1107</v>
      </c>
      <c r="H145" s="704">
        <f t="shared" si="104"/>
        <v>1121</v>
      </c>
      <c r="I145" s="689">
        <f>(I148-I138)/10*7+I138</f>
        <v>1094.4702743707956</v>
      </c>
      <c r="J145" s="689">
        <f>(J148-J138)/10*7+J138</f>
        <v>1165.4753566901813</v>
      </c>
      <c r="K145" s="689">
        <f>(K148-K138)/10*7+K138</f>
        <v>1523.0277435825572</v>
      </c>
      <c r="L145" s="694">
        <f>(L148-L138)/10*7+L138</f>
        <v>1778.1428778231534</v>
      </c>
      <c r="M145" s="696">
        <v>10.7</v>
      </c>
    </row>
    <row r="146" spans="1:13" hidden="1" x14ac:dyDescent="0.2">
      <c r="A146" s="710"/>
      <c r="B146" s="704"/>
      <c r="C146" s="704"/>
      <c r="D146" s="704"/>
      <c r="E146" s="704"/>
      <c r="F146" s="704"/>
      <c r="G146" s="704">
        <f t="shared" ref="G146:H146" si="105">(G148-G138)/10*8+G138</f>
        <v>1118</v>
      </c>
      <c r="H146" s="704">
        <f t="shared" si="105"/>
        <v>1134</v>
      </c>
      <c r="I146" s="689">
        <f>(I148-I138)/10*8+I138</f>
        <v>1103.9243355258106</v>
      </c>
      <c r="J146" s="689">
        <f>(J148-J138)/10*8+J138</f>
        <v>1168.5633917905661</v>
      </c>
      <c r="K146" s="689">
        <f>(K148-K138)/10*8+K138</f>
        <v>1534.5190050269048</v>
      </c>
      <c r="L146" s="694">
        <f>(L148-L138)/10*8+L138</f>
        <v>1781.7243003545602</v>
      </c>
      <c r="M146" s="696">
        <v>10.8</v>
      </c>
    </row>
    <row r="147" spans="1:13" hidden="1" x14ac:dyDescent="0.2">
      <c r="A147" s="710"/>
      <c r="B147" s="704"/>
      <c r="C147" s="704"/>
      <c r="D147" s="704"/>
      <c r="E147" s="704"/>
      <c r="F147" s="704"/>
      <c r="G147" s="704">
        <f t="shared" ref="G147:H147" si="106">(G148-G138)/10*9+G138</f>
        <v>1129</v>
      </c>
      <c r="H147" s="704">
        <f t="shared" si="106"/>
        <v>1147</v>
      </c>
      <c r="I147" s="689">
        <f>(I148-I138)/10*9+I138</f>
        <v>1113.3783966808255</v>
      </c>
      <c r="J147" s="689">
        <f>(J148-J138)/10*9+J138</f>
        <v>1171.6514268909509</v>
      </c>
      <c r="K147" s="689">
        <f>(K148-K138)/10*9+K138</f>
        <v>1546.0102664712526</v>
      </c>
      <c r="L147" s="694">
        <f>(L148-L138)/10*9+L138</f>
        <v>1785.305722885967</v>
      </c>
      <c r="M147" s="696">
        <v>10.9</v>
      </c>
    </row>
    <row r="148" spans="1:13" hidden="1" x14ac:dyDescent="0.2">
      <c r="A148" s="710"/>
      <c r="B148" s="704"/>
      <c r="C148" s="704"/>
      <c r="D148" s="704"/>
      <c r="E148" s="704"/>
      <c r="F148" s="704"/>
      <c r="G148" s="706">
        <v>1140</v>
      </c>
      <c r="H148" s="704">
        <v>1160</v>
      </c>
      <c r="I148" s="689">
        <v>1122.8324578358404</v>
      </c>
      <c r="J148" s="689">
        <v>1174.7394619913359</v>
      </c>
      <c r="K148" s="689">
        <v>1557.5015279156003</v>
      </c>
      <c r="L148" s="694">
        <v>1788.8871454173739</v>
      </c>
      <c r="M148" s="696">
        <v>11</v>
      </c>
    </row>
    <row r="149" spans="1:13" hidden="1" x14ac:dyDescent="0.2">
      <c r="A149" s="710"/>
      <c r="B149" s="704"/>
      <c r="C149" s="704"/>
      <c r="D149" s="704"/>
      <c r="E149" s="704"/>
      <c r="F149" s="704"/>
      <c r="G149" s="704">
        <f t="shared" ref="G149:H149" si="107">(G158-G148)/10*1+G148</f>
        <v>1150</v>
      </c>
      <c r="H149" s="704">
        <f t="shared" si="107"/>
        <v>1173</v>
      </c>
      <c r="I149" s="689">
        <f>(I158-I148)/10*1+I148</f>
        <v>1136.1468660206056</v>
      </c>
      <c r="J149" s="689">
        <f>(J158-J148)/10*1+J148</f>
        <v>1184.2658087100135</v>
      </c>
      <c r="K149" s="689">
        <f>(K158-K148)/10*1+K148</f>
        <v>1559.644140778538</v>
      </c>
      <c r="L149" s="694">
        <f>(L158-L148)/10*1+L148</f>
        <v>1802.1740904867168</v>
      </c>
      <c r="M149" s="696">
        <v>11.1</v>
      </c>
    </row>
    <row r="150" spans="1:13" hidden="1" x14ac:dyDescent="0.2">
      <c r="A150" s="710"/>
      <c r="B150" s="704"/>
      <c r="C150" s="704"/>
      <c r="D150" s="704"/>
      <c r="E150" s="704"/>
      <c r="F150" s="704"/>
      <c r="G150" s="704">
        <f t="shared" ref="G150:H150" si="108">(G158-G148)/10*2+G148</f>
        <v>1160</v>
      </c>
      <c r="H150" s="704">
        <f t="shared" si="108"/>
        <v>1186</v>
      </c>
      <c r="I150" s="689">
        <f>(I158-I148)/10*2+I148</f>
        <v>1149.461274205371</v>
      </c>
      <c r="J150" s="689">
        <f>(J158-J148)/10*2+J148</f>
        <v>1193.7921554286913</v>
      </c>
      <c r="K150" s="689">
        <f>(K158-K148)/10*2+K148</f>
        <v>1561.7867536414756</v>
      </c>
      <c r="L150" s="694">
        <f>(L158-L148)/10*2+L148</f>
        <v>1815.4610355560599</v>
      </c>
      <c r="M150" s="696">
        <v>11.2</v>
      </c>
    </row>
    <row r="151" spans="1:13" hidden="1" x14ac:dyDescent="0.2">
      <c r="A151" s="710"/>
      <c r="B151" s="704"/>
      <c r="C151" s="704"/>
      <c r="D151" s="704"/>
      <c r="E151" s="704"/>
      <c r="F151" s="704"/>
      <c r="G151" s="704">
        <f t="shared" ref="G151:H151" si="109">(G158-G148)/10*3+G148</f>
        <v>1170</v>
      </c>
      <c r="H151" s="704">
        <f t="shared" si="109"/>
        <v>1199</v>
      </c>
      <c r="I151" s="689">
        <f>(I158-I148)/10*3+I148</f>
        <v>1162.7756823901364</v>
      </c>
      <c r="J151" s="689">
        <f>(J158-J148)/10*3+J148</f>
        <v>1203.3185021473691</v>
      </c>
      <c r="K151" s="689">
        <f>(K158-K148)/10*3+K148</f>
        <v>1563.9293665044133</v>
      </c>
      <c r="L151" s="694">
        <f>(L158-L148)/10*3+L148</f>
        <v>1828.7479806254028</v>
      </c>
      <c r="M151" s="696">
        <v>11.3</v>
      </c>
    </row>
    <row r="152" spans="1:13" hidden="1" x14ac:dyDescent="0.2">
      <c r="A152" s="710"/>
      <c r="B152" s="704"/>
      <c r="C152" s="704"/>
      <c r="D152" s="704"/>
      <c r="E152" s="704"/>
      <c r="F152" s="704"/>
      <c r="G152" s="704">
        <f t="shared" ref="G152:H152" si="110">(G158-G148)/10*4+G148</f>
        <v>1180</v>
      </c>
      <c r="H152" s="704">
        <f t="shared" si="110"/>
        <v>1212</v>
      </c>
      <c r="I152" s="689">
        <f>(I158-I148)/10*4+I148</f>
        <v>1176.0900905749015</v>
      </c>
      <c r="J152" s="689">
        <f>(J158-J148)/10*4+J148</f>
        <v>1212.8448488660467</v>
      </c>
      <c r="K152" s="689">
        <f>(K158-K148)/10*4+K148</f>
        <v>1566.0719793673509</v>
      </c>
      <c r="L152" s="694">
        <f>(L158-L148)/10*4+L148</f>
        <v>1842.0349256947459</v>
      </c>
      <c r="M152" s="696">
        <v>11.4</v>
      </c>
    </row>
    <row r="153" spans="1:13" hidden="1" x14ac:dyDescent="0.2">
      <c r="A153" s="710"/>
      <c r="B153" s="704"/>
      <c r="C153" s="704"/>
      <c r="D153" s="704"/>
      <c r="E153" s="704"/>
      <c r="F153" s="704"/>
      <c r="G153" s="704">
        <f t="shared" ref="G153:H153" si="111">(G158-G148)/10*5+G148</f>
        <v>1190</v>
      </c>
      <c r="H153" s="704">
        <f t="shared" si="111"/>
        <v>1225</v>
      </c>
      <c r="I153" s="689">
        <f>(I158-I148)/10*5+I148</f>
        <v>1189.4044987596667</v>
      </c>
      <c r="J153" s="689">
        <f>(J158-J148)/10*5+J148</f>
        <v>1222.3711955847243</v>
      </c>
      <c r="K153" s="689">
        <f>(K158-K148)/10*5+K148</f>
        <v>1568.2145922302886</v>
      </c>
      <c r="L153" s="694">
        <f>(L158-L148)/10*5+L148</f>
        <v>1855.3218707640888</v>
      </c>
      <c r="M153" s="696">
        <v>11.5</v>
      </c>
    </row>
    <row r="154" spans="1:13" hidden="1" x14ac:dyDescent="0.2">
      <c r="A154" s="710"/>
      <c r="B154" s="704"/>
      <c r="C154" s="704"/>
      <c r="D154" s="704"/>
      <c r="E154" s="704"/>
      <c r="F154" s="704"/>
      <c r="G154" s="704">
        <f t="shared" ref="G154:H154" si="112">(G158-G148)/10*6+G148</f>
        <v>1200</v>
      </c>
      <c r="H154" s="704">
        <f t="shared" si="112"/>
        <v>1238</v>
      </c>
      <c r="I154" s="689">
        <f>(I158-I148)/10*6+I148</f>
        <v>1202.7189069444321</v>
      </c>
      <c r="J154" s="689">
        <f>(J158-J148)/10*6+J148</f>
        <v>1231.8975423034021</v>
      </c>
      <c r="K154" s="689">
        <f>(K158-K148)/10*6+K148</f>
        <v>1570.3572050932264</v>
      </c>
      <c r="L154" s="694">
        <f>(L158-L148)/10*6+L148</f>
        <v>1868.6088158334317</v>
      </c>
      <c r="M154" s="696">
        <v>11.6</v>
      </c>
    </row>
    <row r="155" spans="1:13" hidden="1" x14ac:dyDescent="0.2">
      <c r="A155" s="710"/>
      <c r="B155" s="704"/>
      <c r="C155" s="704"/>
      <c r="D155" s="704"/>
      <c r="E155" s="704"/>
      <c r="F155" s="704"/>
      <c r="G155" s="704">
        <f t="shared" ref="G155:H155" si="113">(G158-G148)/10*7+G148</f>
        <v>1210</v>
      </c>
      <c r="H155" s="704">
        <f t="shared" si="113"/>
        <v>1251</v>
      </c>
      <c r="I155" s="689">
        <f>(I158-I148)/10*7+I148</f>
        <v>1216.0333151291975</v>
      </c>
      <c r="J155" s="689">
        <f>(J158-J148)/10*7+J148</f>
        <v>1241.4238890220799</v>
      </c>
      <c r="K155" s="689">
        <f>(K158-K148)/10*7+K148</f>
        <v>1572.499817956164</v>
      </c>
      <c r="L155" s="694">
        <f>(L158-L148)/10*7+L148</f>
        <v>1881.8957609027748</v>
      </c>
      <c r="M155" s="696">
        <v>11.7</v>
      </c>
    </row>
    <row r="156" spans="1:13" hidden="1" x14ac:dyDescent="0.2">
      <c r="A156" s="710"/>
      <c r="B156" s="704"/>
      <c r="C156" s="704"/>
      <c r="D156" s="704"/>
      <c r="E156" s="704"/>
      <c r="F156" s="704"/>
      <c r="G156" s="704">
        <f t="shared" ref="G156:H156" si="114">(G158-G148)/10*8+G148</f>
        <v>1220</v>
      </c>
      <c r="H156" s="704">
        <f t="shared" si="114"/>
        <v>1264</v>
      </c>
      <c r="I156" s="689">
        <f>(I158-I148)/10*8+I148</f>
        <v>1229.3477233139627</v>
      </c>
      <c r="J156" s="689">
        <f>(J158-J148)/10*8+J148</f>
        <v>1250.9502357407575</v>
      </c>
      <c r="K156" s="689">
        <f>(K158-K148)/10*8+K148</f>
        <v>1574.6424308191017</v>
      </c>
      <c r="L156" s="694">
        <f>(L158-L148)/10*8+L148</f>
        <v>1895.1827059721177</v>
      </c>
      <c r="M156" s="696">
        <v>11.8</v>
      </c>
    </row>
    <row r="157" spans="1:13" hidden="1" x14ac:dyDescent="0.2">
      <c r="A157" s="710"/>
      <c r="B157" s="704"/>
      <c r="C157" s="704"/>
      <c r="D157" s="704"/>
      <c r="E157" s="704"/>
      <c r="F157" s="704"/>
      <c r="G157" s="704">
        <f t="shared" ref="G157:H157" si="115">(G158-G148)/10*9+G148</f>
        <v>1230</v>
      </c>
      <c r="H157" s="704">
        <f t="shared" si="115"/>
        <v>1277</v>
      </c>
      <c r="I157" s="689">
        <f>(I158-I148)/10*9+I148</f>
        <v>1242.6621314987278</v>
      </c>
      <c r="J157" s="689">
        <f>(J158-J148)/10*9+J148</f>
        <v>1260.4765824594351</v>
      </c>
      <c r="K157" s="689">
        <f>(K158-K148)/10*9+K148</f>
        <v>1576.7850436820393</v>
      </c>
      <c r="L157" s="694">
        <f>(L158-L148)/10*9+L148</f>
        <v>1908.4696510414608</v>
      </c>
      <c r="M157" s="696">
        <v>11.9</v>
      </c>
    </row>
    <row r="158" spans="1:13" hidden="1" x14ac:dyDescent="0.2">
      <c r="A158" s="710"/>
      <c r="B158" s="704"/>
      <c r="C158" s="704"/>
      <c r="D158" s="704"/>
      <c r="E158" s="704"/>
      <c r="F158" s="704"/>
      <c r="G158" s="706">
        <v>1240</v>
      </c>
      <c r="H158" s="704">
        <v>1290</v>
      </c>
      <c r="I158" s="689">
        <v>1255.9765396834932</v>
      </c>
      <c r="J158" s="689">
        <v>1270.0029291781129</v>
      </c>
      <c r="K158" s="689">
        <v>1578.927656544977</v>
      </c>
      <c r="L158" s="694">
        <v>1921.7565961108037</v>
      </c>
      <c r="M158" s="696">
        <v>12</v>
      </c>
    </row>
    <row r="159" spans="1:13" hidden="1" x14ac:dyDescent="0.2">
      <c r="A159" s="710"/>
      <c r="B159" s="704"/>
      <c r="C159" s="704"/>
      <c r="D159" s="704"/>
      <c r="E159" s="704"/>
      <c r="F159" s="704"/>
      <c r="G159" s="704"/>
      <c r="H159" s="704">
        <f t="shared" ref="H159" si="116">(H168-H158)/10*1+H158</f>
        <v>1303</v>
      </c>
      <c r="I159" s="689">
        <f>(I168-I158)/10*1+I158</f>
        <v>1267.2720953426769</v>
      </c>
      <c r="J159" s="689">
        <f>(J168-J158)/10*1+J158</f>
        <v>1283.248147564067</v>
      </c>
      <c r="K159" s="689">
        <f>(K168-K158)/10*1+K158</f>
        <v>1580.2658450792296</v>
      </c>
      <c r="L159" s="694">
        <f>(L168-L158)/10*1+L158</f>
        <v>1941.1449195146211</v>
      </c>
      <c r="M159" s="696">
        <v>12.1</v>
      </c>
    </row>
    <row r="160" spans="1:13" hidden="1" x14ac:dyDescent="0.2">
      <c r="A160" s="710"/>
      <c r="B160" s="704"/>
      <c r="C160" s="704"/>
      <c r="D160" s="704"/>
      <c r="E160" s="704"/>
      <c r="F160" s="704"/>
      <c r="G160" s="704"/>
      <c r="H160" s="704">
        <f t="shared" ref="H160" si="117">(H168-H158)/10*2+H158</f>
        <v>1316</v>
      </c>
      <c r="I160" s="689">
        <f>(I168-I158)/10*2+I158</f>
        <v>1278.5676510018607</v>
      </c>
      <c r="J160" s="689">
        <f>(J168-J158)/10*2+J158</f>
        <v>1296.4933659500209</v>
      </c>
      <c r="K160" s="689">
        <f>(K168-K158)/10*2+K158</f>
        <v>1581.6040336134822</v>
      </c>
      <c r="L160" s="694">
        <f>(L168-L158)/10*2+L158</f>
        <v>1960.5332429184382</v>
      </c>
      <c r="M160" s="696">
        <v>12.2</v>
      </c>
    </row>
    <row r="161" spans="1:13" hidden="1" x14ac:dyDescent="0.2">
      <c r="A161" s="710"/>
      <c r="B161" s="704"/>
      <c r="C161" s="704"/>
      <c r="D161" s="704"/>
      <c r="E161" s="704"/>
      <c r="F161" s="704"/>
      <c r="G161" s="704"/>
      <c r="H161" s="704">
        <f t="shared" ref="H161" si="118">(H168-H158)/10*3+H158</f>
        <v>1329</v>
      </c>
      <c r="I161" s="689">
        <f>(I168-I158)/10*3+I158</f>
        <v>1289.8632066610442</v>
      </c>
      <c r="J161" s="689">
        <f>(J168-J158)/10*3+J158</f>
        <v>1309.738584335975</v>
      </c>
      <c r="K161" s="689">
        <f>(K168-K158)/10*3+K158</f>
        <v>1582.9422221477348</v>
      </c>
      <c r="L161" s="694">
        <f>(L168-L158)/10*3+L158</f>
        <v>1979.9215663222553</v>
      </c>
      <c r="M161" s="696">
        <v>12.3</v>
      </c>
    </row>
    <row r="162" spans="1:13" hidden="1" x14ac:dyDescent="0.2">
      <c r="A162" s="710"/>
      <c r="B162" s="704"/>
      <c r="C162" s="704"/>
      <c r="D162" s="704"/>
      <c r="E162" s="704"/>
      <c r="F162" s="704"/>
      <c r="G162" s="704"/>
      <c r="H162" s="704">
        <f t="shared" ref="H162" si="119">(H168-H158)/10*4+H158</f>
        <v>1342</v>
      </c>
      <c r="I162" s="689">
        <f>(I168-I158)/10*4+I158</f>
        <v>1301.1587623202279</v>
      </c>
      <c r="J162" s="689">
        <f>(J168-J158)/10*4+J158</f>
        <v>1322.9838027219289</v>
      </c>
      <c r="K162" s="689">
        <f>(K168-K158)/10*4+K158</f>
        <v>1584.2804106819874</v>
      </c>
      <c r="L162" s="694">
        <f>(L168-L158)/10*4+L158</f>
        <v>1999.3098897260727</v>
      </c>
      <c r="M162" s="696">
        <v>12.4</v>
      </c>
    </row>
    <row r="163" spans="1:13" hidden="1" x14ac:dyDescent="0.2">
      <c r="A163" s="710"/>
      <c r="B163" s="704"/>
      <c r="C163" s="704"/>
      <c r="D163" s="704"/>
      <c r="E163" s="704"/>
      <c r="F163" s="704"/>
      <c r="G163" s="704"/>
      <c r="H163" s="704">
        <f t="shared" ref="H163" si="120">(H168-H158)/10*5+H158</f>
        <v>1355</v>
      </c>
      <c r="I163" s="689">
        <f>(I168-I158)/10*5+I158</f>
        <v>1312.4543179794116</v>
      </c>
      <c r="J163" s="689">
        <f>(J168-J158)/10*5+J158</f>
        <v>1336.229021107883</v>
      </c>
      <c r="K163" s="689">
        <f>(K168-K158)/10*5+K158</f>
        <v>1585.61859921624</v>
      </c>
      <c r="L163" s="694">
        <f>(L168-L158)/10*5+L158</f>
        <v>2018.6982131298901</v>
      </c>
      <c r="M163" s="696">
        <v>12.5</v>
      </c>
    </row>
    <row r="164" spans="1:13" hidden="1" x14ac:dyDescent="0.2">
      <c r="A164" s="710"/>
      <c r="B164" s="704"/>
      <c r="C164" s="704"/>
      <c r="D164" s="704"/>
      <c r="E164" s="704"/>
      <c r="F164" s="704"/>
      <c r="G164" s="704"/>
      <c r="H164" s="704">
        <f t="shared" ref="H164" si="121">(H168-H158)/10*6+H158</f>
        <v>1368</v>
      </c>
      <c r="I164" s="689">
        <f>(I168-I158)/10*6+I158</f>
        <v>1323.7498736385953</v>
      </c>
      <c r="J164" s="689">
        <f>(J168-J158)/10*6+J158</f>
        <v>1349.4742394938371</v>
      </c>
      <c r="K164" s="689">
        <f>(K168-K158)/10*6+K158</f>
        <v>1586.9567877504924</v>
      </c>
      <c r="L164" s="694">
        <f>(L168-L158)/10*6+L158</f>
        <v>2038.0865365337072</v>
      </c>
      <c r="M164" s="696">
        <v>12.6</v>
      </c>
    </row>
    <row r="165" spans="1:13" hidden="1" x14ac:dyDescent="0.2">
      <c r="A165" s="710"/>
      <c r="B165" s="704"/>
      <c r="C165" s="704"/>
      <c r="D165" s="704"/>
      <c r="E165" s="704"/>
      <c r="F165" s="704"/>
      <c r="G165" s="704"/>
      <c r="H165" s="704">
        <f t="shared" ref="H165" si="122">(H168-H158)/10*7+H158</f>
        <v>1381</v>
      </c>
      <c r="I165" s="689">
        <f>(I168-I158)/10*7+I158</f>
        <v>1335.045429297779</v>
      </c>
      <c r="J165" s="689">
        <f>(J168-J158)/10*7+J158</f>
        <v>1362.719457879791</v>
      </c>
      <c r="K165" s="689">
        <f>(K168-K158)/10*7+K158</f>
        <v>1588.294976284745</v>
      </c>
      <c r="L165" s="694">
        <f>(L168-L158)/10*7+L158</f>
        <v>2057.4748599375243</v>
      </c>
      <c r="M165" s="696">
        <v>12.7</v>
      </c>
    </row>
    <row r="166" spans="1:13" hidden="1" x14ac:dyDescent="0.2">
      <c r="A166" s="710"/>
      <c r="B166" s="704"/>
      <c r="C166" s="704"/>
      <c r="D166" s="704"/>
      <c r="E166" s="704"/>
      <c r="F166" s="704"/>
      <c r="G166" s="704"/>
      <c r="H166" s="704">
        <f t="shared" ref="H166" si="123">(H168-H158)/10*8+H158</f>
        <v>1394</v>
      </c>
      <c r="I166" s="689">
        <f>(I168-I158)/10*8+I158</f>
        <v>1346.3409849569625</v>
      </c>
      <c r="J166" s="689">
        <f>(J168-J158)/10*8+J158</f>
        <v>1375.9646762657451</v>
      </c>
      <c r="K166" s="689">
        <f>(K168-K158)/10*8+K158</f>
        <v>1589.6331648189976</v>
      </c>
      <c r="L166" s="694">
        <f>(L168-L158)/10*8+L158</f>
        <v>2076.8631833413419</v>
      </c>
      <c r="M166" s="696">
        <v>12.8</v>
      </c>
    </row>
    <row r="167" spans="1:13" hidden="1" x14ac:dyDescent="0.2">
      <c r="A167" s="710"/>
      <c r="B167" s="704"/>
      <c r="C167" s="704"/>
      <c r="D167" s="704"/>
      <c r="E167" s="704"/>
      <c r="F167" s="704"/>
      <c r="G167" s="704"/>
      <c r="H167" s="704">
        <f t="shared" ref="H167" si="124">(H168-H158)/10*9+H158</f>
        <v>1407</v>
      </c>
      <c r="I167" s="689">
        <f>(I168-I158)/10*9+I158</f>
        <v>1357.6365406161462</v>
      </c>
      <c r="J167" s="689">
        <f>(J168-J158)/10*9+J158</f>
        <v>1389.209894651699</v>
      </c>
      <c r="K167" s="689">
        <f>(K168-K158)/10*9+K158</f>
        <v>1590.9713533532502</v>
      </c>
      <c r="L167" s="694">
        <f>(L168-L158)/10*9+L158</f>
        <v>2096.2515067451591</v>
      </c>
      <c r="M167" s="696">
        <v>12.9</v>
      </c>
    </row>
    <row r="168" spans="1:13" hidden="1" x14ac:dyDescent="0.2">
      <c r="A168" s="710"/>
      <c r="B168" s="704"/>
      <c r="C168" s="704"/>
      <c r="D168" s="704"/>
      <c r="E168" s="704"/>
      <c r="F168" s="704"/>
      <c r="G168" s="706"/>
      <c r="H168" s="704">
        <v>1420</v>
      </c>
      <c r="I168" s="689">
        <v>1368.93209627533</v>
      </c>
      <c r="J168" s="689">
        <v>1402.4551130376531</v>
      </c>
      <c r="K168" s="689">
        <v>1592.3095418875027</v>
      </c>
      <c r="L168" s="694">
        <v>2115.6398301489762</v>
      </c>
      <c r="M168" s="696">
        <v>13</v>
      </c>
    </row>
    <row r="169" spans="1:13" hidden="1" x14ac:dyDescent="0.2">
      <c r="A169" s="682"/>
      <c r="B169" s="683"/>
      <c r="C169" s="683"/>
      <c r="D169" s="683"/>
      <c r="E169" s="683"/>
      <c r="F169" s="683"/>
      <c r="G169" s="683"/>
      <c r="H169" s="683"/>
      <c r="I169" s="689">
        <f>(I178-I168)/10*1+I168</f>
        <v>1376.8469893384963</v>
      </c>
      <c r="J169" s="689">
        <f>(J178-J168)/10*1+J168</f>
        <v>1415.4352129419849</v>
      </c>
      <c r="K169" s="689">
        <f>(K178-K168)/10*1+K168</f>
        <v>1606.5187414031122</v>
      </c>
      <c r="L169" s="694">
        <f>(L178-L168)/10*1+L168</f>
        <v>2134.6827690616283</v>
      </c>
      <c r="M169" s="696">
        <v>13.1</v>
      </c>
    </row>
    <row r="170" spans="1:13" hidden="1" x14ac:dyDescent="0.2">
      <c r="A170" s="682"/>
      <c r="B170" s="683"/>
      <c r="C170" s="683"/>
      <c r="D170" s="683"/>
      <c r="E170" s="683"/>
      <c r="F170" s="683"/>
      <c r="G170" s="683"/>
      <c r="H170" s="683"/>
      <c r="I170" s="689">
        <f>(I178-I168)/10*2+I168</f>
        <v>1384.7618824016624</v>
      </c>
      <c r="J170" s="689">
        <f>(J178-J168)/10*2+J168</f>
        <v>1428.415312846317</v>
      </c>
      <c r="K170" s="689">
        <f>(K178-K168)/10*2+K168</f>
        <v>1620.7279409187215</v>
      </c>
      <c r="L170" s="694">
        <f>(L178-L168)/10*2+L168</f>
        <v>2153.7257079742808</v>
      </c>
      <c r="M170" s="696">
        <v>13.2</v>
      </c>
    </row>
    <row r="171" spans="1:13" hidden="1" x14ac:dyDescent="0.2">
      <c r="A171" s="682"/>
      <c r="B171" s="683"/>
      <c r="C171" s="683"/>
      <c r="D171" s="683"/>
      <c r="E171" s="683"/>
      <c r="F171" s="683"/>
      <c r="G171" s="683"/>
      <c r="H171" s="683"/>
      <c r="I171" s="689">
        <f>(I178-I168)/10*3+I168</f>
        <v>1392.6767754648288</v>
      </c>
      <c r="J171" s="689">
        <f>(J178-J168)/10*3+J168</f>
        <v>1441.3954127506488</v>
      </c>
      <c r="K171" s="689">
        <f>(K178-K168)/10*3+K168</f>
        <v>1634.937140434331</v>
      </c>
      <c r="L171" s="694">
        <f>(L178-L168)/10*3+L168</f>
        <v>2172.7686468869329</v>
      </c>
      <c r="M171" s="696">
        <v>13.3</v>
      </c>
    </row>
    <row r="172" spans="1:13" hidden="1" x14ac:dyDescent="0.2">
      <c r="A172" s="682"/>
      <c r="B172" s="683"/>
      <c r="C172" s="683"/>
      <c r="D172" s="683"/>
      <c r="E172" s="683"/>
      <c r="F172" s="683"/>
      <c r="G172" s="683"/>
      <c r="H172" s="683"/>
      <c r="I172" s="689">
        <f>(I178-I168)/10*4+I168</f>
        <v>1400.5916685279949</v>
      </c>
      <c r="J172" s="689">
        <f>(J178-J168)/10*4+J168</f>
        <v>1454.3755126549806</v>
      </c>
      <c r="K172" s="689">
        <f>(K178-K168)/10*4+K168</f>
        <v>1649.1463399499403</v>
      </c>
      <c r="L172" s="694">
        <f>(L178-L168)/10*4+L168</f>
        <v>2191.8115857995849</v>
      </c>
      <c r="M172" s="696">
        <v>13.4</v>
      </c>
    </row>
    <row r="173" spans="1:13" hidden="1" x14ac:dyDescent="0.2">
      <c r="A173" s="682"/>
      <c r="B173" s="683"/>
      <c r="C173" s="683"/>
      <c r="D173" s="683"/>
      <c r="E173" s="683"/>
      <c r="F173" s="683"/>
      <c r="G173" s="683"/>
      <c r="H173" s="683"/>
      <c r="I173" s="689">
        <f>(I178-I168)/10*5+I168</f>
        <v>1408.5065615911612</v>
      </c>
      <c r="J173" s="689">
        <f>(J178-J168)/10*5+J168</f>
        <v>1467.3556125593127</v>
      </c>
      <c r="K173" s="689">
        <f>(K178-K168)/10*5+K168</f>
        <v>1663.3555394655498</v>
      </c>
      <c r="L173" s="694">
        <f>(L178-L168)/10*5+L168</f>
        <v>2210.8545247122374</v>
      </c>
      <c r="M173" s="696">
        <v>13.5</v>
      </c>
    </row>
    <row r="174" spans="1:13" hidden="1" x14ac:dyDescent="0.2">
      <c r="A174" s="682"/>
      <c r="B174" s="683"/>
      <c r="C174" s="683"/>
      <c r="D174" s="683"/>
      <c r="E174" s="683"/>
      <c r="F174" s="683"/>
      <c r="G174" s="683"/>
      <c r="H174" s="683"/>
      <c r="I174" s="689">
        <f>(I178-I168)/10*6+I168</f>
        <v>1416.4214546543276</v>
      </c>
      <c r="J174" s="689">
        <f>(J178-J168)/10*6+J168</f>
        <v>1480.3357124636445</v>
      </c>
      <c r="K174" s="689">
        <f>(K178-K168)/10*6+K168</f>
        <v>1677.5647389811593</v>
      </c>
      <c r="L174" s="694">
        <f>(L178-L168)/10*6+L168</f>
        <v>2229.8974636248895</v>
      </c>
      <c r="M174" s="696">
        <v>13.6</v>
      </c>
    </row>
    <row r="175" spans="1:13" hidden="1" x14ac:dyDescent="0.2">
      <c r="A175" s="682"/>
      <c r="B175" s="683"/>
      <c r="C175" s="683"/>
      <c r="D175" s="683"/>
      <c r="E175" s="683"/>
      <c r="F175" s="683"/>
      <c r="G175" s="683"/>
      <c r="H175" s="683"/>
      <c r="I175" s="689">
        <f>(I178-I168)/10*7+I168</f>
        <v>1424.3363477174937</v>
      </c>
      <c r="J175" s="689">
        <f>(J178-J168)/10*7+J168</f>
        <v>1493.3158123679764</v>
      </c>
      <c r="K175" s="689">
        <f>(K178-K168)/10*7+K168</f>
        <v>1691.7739384967686</v>
      </c>
      <c r="L175" s="694">
        <f>(L178-L168)/10*7+L168</f>
        <v>2248.9404025375416</v>
      </c>
      <c r="M175" s="696">
        <v>13.7</v>
      </c>
    </row>
    <row r="176" spans="1:13" hidden="1" x14ac:dyDescent="0.2">
      <c r="A176" s="682"/>
      <c r="B176" s="683"/>
      <c r="C176" s="683"/>
      <c r="D176" s="683"/>
      <c r="E176" s="683"/>
      <c r="F176" s="683"/>
      <c r="G176" s="683"/>
      <c r="H176" s="683"/>
      <c r="I176" s="689">
        <f>(I178-I168)/10*8+I168</f>
        <v>1432.2512407806601</v>
      </c>
      <c r="J176" s="689">
        <f>(J178-J168)/10*8+J168</f>
        <v>1506.2959122723082</v>
      </c>
      <c r="K176" s="689">
        <f>(K178-K168)/10*8+K168</f>
        <v>1705.983138012378</v>
      </c>
      <c r="L176" s="694">
        <f>(L178-L168)/10*8+L168</f>
        <v>2267.9833414501936</v>
      </c>
      <c r="M176" s="696">
        <v>13.8</v>
      </c>
    </row>
    <row r="177" spans="1:13" hidden="1" x14ac:dyDescent="0.2">
      <c r="A177" s="682"/>
      <c r="B177" s="683"/>
      <c r="C177" s="683"/>
      <c r="D177" s="683"/>
      <c r="E177" s="683"/>
      <c r="F177" s="683"/>
      <c r="G177" s="683"/>
      <c r="H177" s="683"/>
      <c r="I177" s="689">
        <f>(I178-I168)/10*9+I168</f>
        <v>1440.1661338438262</v>
      </c>
      <c r="J177" s="689">
        <f>(J178-J168)/10*9+J168</f>
        <v>1519.2760121766403</v>
      </c>
      <c r="K177" s="689">
        <f>(K178-K168)/10*9+K168</f>
        <v>1720.1923375279873</v>
      </c>
      <c r="L177" s="694">
        <f>(L178-L168)/10*9+L168</f>
        <v>2287.0262803628461</v>
      </c>
      <c r="M177" s="696">
        <v>13.9</v>
      </c>
    </row>
    <row r="178" spans="1:13" hidden="1" x14ac:dyDescent="0.2">
      <c r="A178" s="682"/>
      <c r="B178" s="683"/>
      <c r="C178" s="683"/>
      <c r="D178" s="683"/>
      <c r="E178" s="683"/>
      <c r="F178" s="683"/>
      <c r="G178" s="683"/>
      <c r="H178" s="683"/>
      <c r="I178" s="689">
        <v>1448.0810269069925</v>
      </c>
      <c r="J178" s="689">
        <v>1532.2561120809721</v>
      </c>
      <c r="K178" s="689">
        <v>1734.4015370435968</v>
      </c>
      <c r="L178" s="694">
        <v>2306.0692192754982</v>
      </c>
      <c r="M178" s="696">
        <v>14</v>
      </c>
    </row>
    <row r="179" spans="1:13" hidden="1" x14ac:dyDescent="0.2">
      <c r="A179" s="682"/>
      <c r="B179" s="683"/>
      <c r="C179" s="683"/>
      <c r="D179" s="683"/>
      <c r="E179" s="683"/>
      <c r="F179" s="683"/>
      <c r="G179" s="683"/>
      <c r="H179" s="683"/>
      <c r="I179" s="689">
        <f>(I188-I178)/10*1+I178</f>
        <v>1460.338036997174</v>
      </c>
      <c r="J179" s="689">
        <f>(J188-J178)/10*1+J178</f>
        <v>1545.6621432429804</v>
      </c>
      <c r="K179" s="689">
        <f>(K188-K178)/10*1+K178</f>
        <v>1741.3877627052057</v>
      </c>
      <c r="L179" s="694">
        <f>(L188-L178)/10*1+L178</f>
        <v>2325.8085497750671</v>
      </c>
      <c r="M179" s="696">
        <v>14.1</v>
      </c>
    </row>
    <row r="180" spans="1:13" hidden="1" x14ac:dyDescent="0.2">
      <c r="A180" s="682"/>
      <c r="B180" s="683"/>
      <c r="C180" s="683"/>
      <c r="D180" s="683"/>
      <c r="E180" s="683"/>
      <c r="F180" s="683"/>
      <c r="G180" s="683"/>
      <c r="H180" s="683"/>
      <c r="I180" s="689">
        <f>(I188-I178)/10*2+I178</f>
        <v>1472.5950470873554</v>
      </c>
      <c r="J180" s="689">
        <f>(J188-J178)/10*2+J178</f>
        <v>1559.0681744049887</v>
      </c>
      <c r="K180" s="689">
        <f>(K188-K178)/10*2+K178</f>
        <v>1748.3739883668143</v>
      </c>
      <c r="L180" s="694">
        <f>(L188-L178)/10*2+L178</f>
        <v>2345.5478802746361</v>
      </c>
      <c r="M180" s="696">
        <v>14.2</v>
      </c>
    </row>
    <row r="181" spans="1:13" hidden="1" x14ac:dyDescent="0.2">
      <c r="A181" s="682"/>
      <c r="B181" s="683"/>
      <c r="C181" s="683"/>
      <c r="D181" s="683"/>
      <c r="E181" s="683"/>
      <c r="F181" s="683"/>
      <c r="G181" s="683"/>
      <c r="H181" s="683"/>
      <c r="I181" s="689">
        <f>(I188-I178)/10*3+I178</f>
        <v>1484.8520571775368</v>
      </c>
      <c r="J181" s="689">
        <f>(J188-J178)/10*3+J178</f>
        <v>1572.4742055669969</v>
      </c>
      <c r="K181" s="689">
        <f>(K188-K178)/10*3+K178</f>
        <v>1755.3602140284229</v>
      </c>
      <c r="L181" s="694">
        <f>(L188-L178)/10*3+L178</f>
        <v>2365.2872107742051</v>
      </c>
      <c r="M181" s="696">
        <v>14.3</v>
      </c>
    </row>
    <row r="182" spans="1:13" hidden="1" x14ac:dyDescent="0.2">
      <c r="A182" s="682"/>
      <c r="B182" s="683"/>
      <c r="C182" s="683"/>
      <c r="D182" s="683"/>
      <c r="E182" s="683"/>
      <c r="F182" s="683"/>
      <c r="G182" s="683"/>
      <c r="H182" s="683"/>
      <c r="I182" s="689">
        <f>(I188-I178)/10*4+I178</f>
        <v>1497.1090672677183</v>
      </c>
      <c r="J182" s="689">
        <f>(J188-J178)/10*4+J178</f>
        <v>1585.8802367290052</v>
      </c>
      <c r="K182" s="689">
        <f>(K188-K178)/10*4+K178</f>
        <v>1762.3464396900317</v>
      </c>
      <c r="L182" s="694">
        <f>(L188-L178)/10*4+L178</f>
        <v>2385.026541273774</v>
      </c>
      <c r="M182" s="696">
        <v>14.4</v>
      </c>
    </row>
    <row r="183" spans="1:13" hidden="1" x14ac:dyDescent="0.2">
      <c r="A183" s="682"/>
      <c r="B183" s="683"/>
      <c r="C183" s="683"/>
      <c r="D183" s="683"/>
      <c r="E183" s="683"/>
      <c r="F183" s="683"/>
      <c r="G183" s="683"/>
      <c r="H183" s="683"/>
      <c r="I183" s="689">
        <f>(I188-I178)/10*5+I178</f>
        <v>1509.3660773578995</v>
      </c>
      <c r="J183" s="689">
        <f>(J188-J178)/10*5+J178</f>
        <v>1599.2862678910135</v>
      </c>
      <c r="K183" s="689">
        <f>(K188-K178)/10*5+K178</f>
        <v>1769.3326653516406</v>
      </c>
      <c r="L183" s="694">
        <f>(L188-L178)/10*5+L178</f>
        <v>2404.765871773343</v>
      </c>
      <c r="M183" s="696">
        <v>14.5</v>
      </c>
    </row>
    <row r="184" spans="1:13" hidden="1" x14ac:dyDescent="0.2">
      <c r="A184" s="682"/>
      <c r="B184" s="683"/>
      <c r="C184" s="683"/>
      <c r="D184" s="683"/>
      <c r="E184" s="683"/>
      <c r="F184" s="683"/>
      <c r="G184" s="683"/>
      <c r="H184" s="683"/>
      <c r="I184" s="689">
        <f>(I188-I178)/10*6+I178</f>
        <v>1521.6230874480809</v>
      </c>
      <c r="J184" s="689">
        <f>(J188-J178)/10*6+J178</f>
        <v>1612.6922990530218</v>
      </c>
      <c r="K184" s="689">
        <f>(K188-K178)/10*6+K178</f>
        <v>1776.3188910132492</v>
      </c>
      <c r="L184" s="694">
        <f>(L188-L178)/10*6+L178</f>
        <v>2424.5052022729114</v>
      </c>
      <c r="M184" s="696">
        <v>14.6</v>
      </c>
    </row>
    <row r="185" spans="1:13" hidden="1" x14ac:dyDescent="0.2">
      <c r="A185" s="682"/>
      <c r="B185" s="683"/>
      <c r="C185" s="683"/>
      <c r="D185" s="683"/>
      <c r="E185" s="683"/>
      <c r="F185" s="683"/>
      <c r="G185" s="683"/>
      <c r="H185" s="683"/>
      <c r="I185" s="689">
        <f>(I188-I178)/10*7+I178</f>
        <v>1533.8800975382624</v>
      </c>
      <c r="J185" s="689">
        <f>(J188-J178)/10*7+J178</f>
        <v>1626.09833021503</v>
      </c>
      <c r="K185" s="689">
        <f>(K188-K178)/10*7+K178</f>
        <v>1783.3051166748578</v>
      </c>
      <c r="L185" s="694">
        <f>(L188-L178)/10*7+L178</f>
        <v>2444.2445327724804</v>
      </c>
      <c r="M185" s="696">
        <v>14.7</v>
      </c>
    </row>
    <row r="186" spans="1:13" hidden="1" x14ac:dyDescent="0.2">
      <c r="A186" s="682"/>
      <c r="B186" s="683"/>
      <c r="C186" s="683"/>
      <c r="D186" s="683"/>
      <c r="E186" s="683"/>
      <c r="F186" s="683"/>
      <c r="G186" s="683"/>
      <c r="H186" s="683"/>
      <c r="I186" s="689">
        <f>(I188-I178)/10*8+I178</f>
        <v>1546.1371076284438</v>
      </c>
      <c r="J186" s="689">
        <f>(J188-J178)/10*8+J178</f>
        <v>1639.5043613770383</v>
      </c>
      <c r="K186" s="689">
        <f>(K188-K178)/10*8+K178</f>
        <v>1790.2913423364666</v>
      </c>
      <c r="L186" s="694">
        <f>(L188-L178)/10*8+L178</f>
        <v>2463.9838632720493</v>
      </c>
      <c r="M186" s="696">
        <v>14.8</v>
      </c>
    </row>
    <row r="187" spans="1:13" hidden="1" x14ac:dyDescent="0.2">
      <c r="A187" s="682"/>
      <c r="B187" s="683"/>
      <c r="C187" s="683"/>
      <c r="D187" s="683"/>
      <c r="E187" s="683"/>
      <c r="F187" s="683"/>
      <c r="G187" s="683"/>
      <c r="H187" s="683"/>
      <c r="I187" s="689">
        <f>(I188-I178)/10*9+I178</f>
        <v>1558.3941177186252</v>
      </c>
      <c r="J187" s="689">
        <f>(J188-J178)/10*9+J178</f>
        <v>1652.9103925390466</v>
      </c>
      <c r="K187" s="689">
        <f>(K188-K178)/10*9+K178</f>
        <v>1797.2775679980755</v>
      </c>
      <c r="L187" s="694">
        <f>(L188-L178)/10*9+L178</f>
        <v>2483.7231937716183</v>
      </c>
      <c r="M187" s="696">
        <v>14.9</v>
      </c>
    </row>
    <row r="188" spans="1:13" hidden="1" x14ac:dyDescent="0.2">
      <c r="A188" s="682"/>
      <c r="B188" s="683"/>
      <c r="C188" s="683"/>
      <c r="D188" s="683"/>
      <c r="E188" s="683"/>
      <c r="F188" s="683"/>
      <c r="G188" s="683"/>
      <c r="H188" s="683"/>
      <c r="I188" s="689">
        <v>1570.6511278088067</v>
      </c>
      <c r="J188" s="689">
        <v>1666.3164237010549</v>
      </c>
      <c r="K188" s="689">
        <v>1804.2637936596841</v>
      </c>
      <c r="L188" s="694">
        <v>2503.4625242711872</v>
      </c>
      <c r="M188" s="696">
        <v>15</v>
      </c>
    </row>
    <row r="189" spans="1:13" hidden="1" x14ac:dyDescent="0.2">
      <c r="A189" s="682"/>
      <c r="B189" s="683"/>
      <c r="C189" s="683"/>
      <c r="D189" s="683"/>
      <c r="E189" s="683"/>
      <c r="F189" s="683"/>
      <c r="G189" s="683"/>
      <c r="H189" s="683"/>
      <c r="I189" s="689">
        <f>(I198-I188)/10*1+I188</f>
        <v>1583.2075613799154</v>
      </c>
      <c r="J189" s="689">
        <f>(J198-J188)/10*1+J188</f>
        <v>1678.5451784413642</v>
      </c>
      <c r="K189" s="689">
        <f>(K198-K188)/10*1+K188</f>
        <v>1820.7239340597216</v>
      </c>
      <c r="L189" s="694">
        <f>(L198-L188)/10*1+L188</f>
        <v>2525.4659404194986</v>
      </c>
      <c r="M189" s="696">
        <v>15.1</v>
      </c>
    </row>
    <row r="190" spans="1:13" hidden="1" x14ac:dyDescent="0.2">
      <c r="A190" s="682"/>
      <c r="B190" s="683"/>
      <c r="C190" s="683"/>
      <c r="D190" s="683"/>
      <c r="E190" s="683"/>
      <c r="F190" s="683"/>
      <c r="G190" s="683"/>
      <c r="H190" s="683"/>
      <c r="I190" s="689">
        <f>(I198-I188)/10*2+I188</f>
        <v>1595.7639949510242</v>
      </c>
      <c r="J190" s="689">
        <f>(J198-J188)/10*2+J188</f>
        <v>1690.7739331816736</v>
      </c>
      <c r="K190" s="689">
        <f>(K198-K188)/10*2+K188</f>
        <v>1837.1840744597594</v>
      </c>
      <c r="L190" s="694">
        <f>(L198-L188)/10*2+L188</f>
        <v>2547.4693565678099</v>
      </c>
      <c r="M190" s="696">
        <v>15.2</v>
      </c>
    </row>
    <row r="191" spans="1:13" hidden="1" x14ac:dyDescent="0.2">
      <c r="A191" s="682"/>
      <c r="B191" s="683"/>
      <c r="C191" s="683"/>
      <c r="D191" s="683"/>
      <c r="E191" s="683"/>
      <c r="F191" s="683"/>
      <c r="G191" s="683"/>
      <c r="H191" s="683"/>
      <c r="I191" s="689">
        <f>(I198-I188)/10*3+I188</f>
        <v>1608.3204285221332</v>
      </c>
      <c r="J191" s="689">
        <f>(J198-J188)/10*3+J188</f>
        <v>1703.0026879219829</v>
      </c>
      <c r="K191" s="689">
        <f>(K198-K188)/10*3+K188</f>
        <v>1853.6442148597971</v>
      </c>
      <c r="L191" s="694">
        <f>(L198-L188)/10*3+L188</f>
        <v>2569.4727727161207</v>
      </c>
      <c r="M191" s="696">
        <v>15.3</v>
      </c>
    </row>
    <row r="192" spans="1:13" hidden="1" x14ac:dyDescent="0.2">
      <c r="A192" s="682"/>
      <c r="B192" s="683"/>
      <c r="C192" s="683"/>
      <c r="D192" s="683"/>
      <c r="E192" s="683"/>
      <c r="F192" s="683"/>
      <c r="G192" s="683"/>
      <c r="H192" s="683"/>
      <c r="I192" s="689">
        <f>(I198-I188)/10*4+I188</f>
        <v>1620.8768620932419</v>
      </c>
      <c r="J192" s="689">
        <f>(J198-J188)/10*4+J188</f>
        <v>1715.2314426622922</v>
      </c>
      <c r="K192" s="689">
        <f>(K198-K188)/10*4+K188</f>
        <v>1870.1043552598346</v>
      </c>
      <c r="L192" s="694">
        <f>(L198-L188)/10*4+L188</f>
        <v>2591.4761888644321</v>
      </c>
      <c r="M192" s="696">
        <v>15.4</v>
      </c>
    </row>
    <row r="193" spans="1:13" hidden="1" x14ac:dyDescent="0.2">
      <c r="A193" s="682"/>
      <c r="B193" s="683"/>
      <c r="C193" s="683"/>
      <c r="D193" s="683"/>
      <c r="E193" s="683"/>
      <c r="F193" s="683"/>
      <c r="G193" s="683"/>
      <c r="H193" s="683"/>
      <c r="I193" s="689">
        <f>(I198-I188)/10*5+I188</f>
        <v>1633.4332956643507</v>
      </c>
      <c r="J193" s="689">
        <f>(J198-J188)/10*5+J188</f>
        <v>1727.4601974026018</v>
      </c>
      <c r="K193" s="689">
        <f>(K198-K188)/10*5+K188</f>
        <v>1886.5644956598721</v>
      </c>
      <c r="L193" s="694">
        <f>(L198-L188)/10*5+L188</f>
        <v>2613.4796050127434</v>
      </c>
      <c r="M193" s="696">
        <v>15.5</v>
      </c>
    </row>
    <row r="194" spans="1:13" hidden="1" x14ac:dyDescent="0.2">
      <c r="A194" s="682"/>
      <c r="B194" s="683"/>
      <c r="C194" s="683"/>
      <c r="D194" s="683"/>
      <c r="E194" s="683"/>
      <c r="F194" s="683"/>
      <c r="G194" s="683"/>
      <c r="H194" s="683"/>
      <c r="I194" s="689">
        <f>(I198-I188)/10*6+I188</f>
        <v>1645.9897292354594</v>
      </c>
      <c r="J194" s="689">
        <f>(J198-J188)/10*6+J188</f>
        <v>1739.6889521429111</v>
      </c>
      <c r="K194" s="689">
        <f>(K198-K188)/10*6+K188</f>
        <v>1903.0246360599099</v>
      </c>
      <c r="L194" s="694">
        <f>(L198-L188)/10*6+L188</f>
        <v>2635.4830211610547</v>
      </c>
      <c r="M194" s="696">
        <v>15.6</v>
      </c>
    </row>
    <row r="195" spans="1:13" hidden="1" x14ac:dyDescent="0.2">
      <c r="A195" s="682"/>
      <c r="B195" s="683"/>
      <c r="C195" s="683"/>
      <c r="D195" s="683"/>
      <c r="E195" s="683"/>
      <c r="F195" s="683"/>
      <c r="G195" s="683"/>
      <c r="H195" s="683"/>
      <c r="I195" s="689">
        <f>(I198-I188)/10*7+I188</f>
        <v>1658.5461628065682</v>
      </c>
      <c r="J195" s="689">
        <f>(J198-J188)/10*7+J188</f>
        <v>1751.9177068832205</v>
      </c>
      <c r="K195" s="689">
        <f>(K198-K188)/10*7+K188</f>
        <v>1919.4847764599476</v>
      </c>
      <c r="L195" s="694">
        <f>(L198-L188)/10*7+L188</f>
        <v>2657.486437309366</v>
      </c>
      <c r="M195" s="696">
        <v>15.7</v>
      </c>
    </row>
    <row r="196" spans="1:13" hidden="1" x14ac:dyDescent="0.2">
      <c r="A196" s="682"/>
      <c r="B196" s="683"/>
      <c r="C196" s="683"/>
      <c r="D196" s="683"/>
      <c r="E196" s="683"/>
      <c r="F196" s="683"/>
      <c r="G196" s="683"/>
      <c r="H196" s="683"/>
      <c r="I196" s="689">
        <f>(I198-I188)/10*8+I188</f>
        <v>1671.1025963776772</v>
      </c>
      <c r="J196" s="689">
        <f>(J198-J188)/10*8+J188</f>
        <v>1764.1464616235298</v>
      </c>
      <c r="K196" s="689">
        <f>(K198-K188)/10*8+K188</f>
        <v>1935.9449168599851</v>
      </c>
      <c r="L196" s="694">
        <f>(L198-L188)/10*8+L188</f>
        <v>2679.4898534576769</v>
      </c>
      <c r="M196" s="696">
        <v>15.8</v>
      </c>
    </row>
    <row r="197" spans="1:13" hidden="1" x14ac:dyDescent="0.2">
      <c r="A197" s="682"/>
      <c r="B197" s="683"/>
      <c r="C197" s="683"/>
      <c r="D197" s="683"/>
      <c r="E197" s="683"/>
      <c r="F197" s="683"/>
      <c r="G197" s="683"/>
      <c r="H197" s="683"/>
      <c r="I197" s="689">
        <f>(I198-I188)/10*9+I188</f>
        <v>1683.6590299487859</v>
      </c>
      <c r="J197" s="689">
        <f>(J198-J188)/10*9+J188</f>
        <v>1776.3752163638392</v>
      </c>
      <c r="K197" s="689">
        <f>(K198-K188)/10*9+K188</f>
        <v>1952.4050572600227</v>
      </c>
      <c r="L197" s="694">
        <f>(L198-L188)/10*9+L188</f>
        <v>2701.4932696059882</v>
      </c>
      <c r="M197" s="696">
        <v>15.9</v>
      </c>
    </row>
    <row r="198" spans="1:13" hidden="1" x14ac:dyDescent="0.2">
      <c r="A198" s="682"/>
      <c r="B198" s="683"/>
      <c r="C198" s="683"/>
      <c r="D198" s="683"/>
      <c r="E198" s="683"/>
      <c r="F198" s="683"/>
      <c r="G198" s="683"/>
      <c r="H198" s="683"/>
      <c r="I198" s="689">
        <v>1696.2154635198947</v>
      </c>
      <c r="J198" s="689">
        <v>1788.6039711041485</v>
      </c>
      <c r="K198" s="689">
        <v>1968.8651976600604</v>
      </c>
      <c r="L198" s="694">
        <v>2723.4966857542995</v>
      </c>
      <c r="M198" s="696">
        <v>16</v>
      </c>
    </row>
    <row r="199" spans="1:13" hidden="1" x14ac:dyDescent="0.2">
      <c r="A199" s="682"/>
      <c r="B199" s="683"/>
      <c r="C199" s="683"/>
      <c r="D199" s="683"/>
      <c r="E199" s="683"/>
      <c r="F199" s="683"/>
      <c r="G199" s="683"/>
      <c r="H199" s="683"/>
      <c r="I199" s="689">
        <f>(I208-I198)/10*1+I198</f>
        <v>1709.8092183805882</v>
      </c>
      <c r="J199" s="689">
        <f>(J208-J198)/10*1+J198</f>
        <v>1803.3003343986124</v>
      </c>
      <c r="K199" s="689">
        <f>(K208-K198)/10*1+K198</f>
        <v>1985.9805947788745</v>
      </c>
      <c r="L199" s="694">
        <f>(L208-L198)/10*1+L198</f>
        <v>2743.5280143450341</v>
      </c>
      <c r="M199" s="696">
        <v>16.100000000000001</v>
      </c>
    </row>
    <row r="200" spans="1:13" hidden="1" x14ac:dyDescent="0.2">
      <c r="A200" s="682"/>
      <c r="B200" s="683"/>
      <c r="C200" s="683"/>
      <c r="D200" s="683"/>
      <c r="E200" s="683"/>
      <c r="F200" s="683"/>
      <c r="G200" s="683"/>
      <c r="H200" s="683"/>
      <c r="I200" s="689">
        <f>(I208-I198)/10*2+I198</f>
        <v>1723.4029732412814</v>
      </c>
      <c r="J200" s="689">
        <f>(J208-J198)/10*2+J198</f>
        <v>1817.9966976930766</v>
      </c>
      <c r="K200" s="689">
        <f>(K208-K198)/10*2+K198</f>
        <v>2003.0959918976887</v>
      </c>
      <c r="L200" s="694">
        <f>(L208-L198)/10*2+L198</f>
        <v>2763.5593429357682</v>
      </c>
      <c r="M200" s="696">
        <v>16.2</v>
      </c>
    </row>
    <row r="201" spans="1:13" hidden="1" x14ac:dyDescent="0.2">
      <c r="A201" s="682"/>
      <c r="B201" s="683"/>
      <c r="C201" s="683"/>
      <c r="D201" s="683"/>
      <c r="E201" s="683"/>
      <c r="F201" s="683"/>
      <c r="G201" s="683"/>
      <c r="H201" s="683"/>
      <c r="I201" s="689">
        <f>(I208-I198)/10*3+I198</f>
        <v>1736.9967281019749</v>
      </c>
      <c r="J201" s="689">
        <f>(J208-J198)/10*3+J198</f>
        <v>1832.6930609875405</v>
      </c>
      <c r="K201" s="689">
        <f>(K208-K198)/10*3+K198</f>
        <v>2020.2113890165031</v>
      </c>
      <c r="L201" s="694">
        <f>(L208-L198)/10*3+L198</f>
        <v>2783.5906715265028</v>
      </c>
      <c r="M201" s="696">
        <v>16.3</v>
      </c>
    </row>
    <row r="202" spans="1:13" hidden="1" x14ac:dyDescent="0.2">
      <c r="A202" s="682"/>
      <c r="B202" s="683"/>
      <c r="C202" s="683"/>
      <c r="D202" s="683"/>
      <c r="E202" s="683"/>
      <c r="F202" s="683"/>
      <c r="G202" s="683"/>
      <c r="H202" s="683"/>
      <c r="I202" s="689">
        <f>(I208-I198)/10*4+I198</f>
        <v>1750.5904829626684</v>
      </c>
      <c r="J202" s="689">
        <f>(J208-J198)/10*4+J198</f>
        <v>1847.3894242820047</v>
      </c>
      <c r="K202" s="689">
        <f>(K208-K198)/10*4+K198</f>
        <v>2037.3267861353172</v>
      </c>
      <c r="L202" s="694">
        <f>(L208-L198)/10*4+L198</f>
        <v>2803.6220001172369</v>
      </c>
      <c r="M202" s="696">
        <v>16.399999999999999</v>
      </c>
    </row>
    <row r="203" spans="1:13" hidden="1" x14ac:dyDescent="0.2">
      <c r="A203" s="682"/>
      <c r="B203" s="683"/>
      <c r="C203" s="683"/>
      <c r="D203" s="683"/>
      <c r="E203" s="683"/>
      <c r="F203" s="683"/>
      <c r="G203" s="683"/>
      <c r="H203" s="683"/>
      <c r="I203" s="689">
        <f>(I208-I198)/10*5+I198</f>
        <v>1764.1842378233619</v>
      </c>
      <c r="J203" s="689">
        <f>(J208-J198)/10*5+J198</f>
        <v>1862.0857875764686</v>
      </c>
      <c r="K203" s="689">
        <f>(K208-K198)/10*5+K198</f>
        <v>2054.4421832541311</v>
      </c>
      <c r="L203" s="694">
        <f>(L208-L198)/10*5+L198</f>
        <v>2823.6533287079715</v>
      </c>
      <c r="M203" s="696">
        <v>16.5</v>
      </c>
    </row>
    <row r="204" spans="1:13" hidden="1" x14ac:dyDescent="0.2">
      <c r="A204" s="682"/>
      <c r="B204" s="683"/>
      <c r="C204" s="683"/>
      <c r="D204" s="683"/>
      <c r="E204" s="683"/>
      <c r="F204" s="683"/>
      <c r="G204" s="683"/>
      <c r="H204" s="683"/>
      <c r="I204" s="689">
        <f>(I208-I198)/10*6+I198</f>
        <v>1777.7779926840551</v>
      </c>
      <c r="J204" s="689">
        <f>(J208-J198)/10*6+J198</f>
        <v>1876.7821508709326</v>
      </c>
      <c r="K204" s="689">
        <f>(K208-K198)/10*6+K198</f>
        <v>2071.5575803729457</v>
      </c>
      <c r="L204" s="694">
        <f>(L208-L198)/10*6+L198</f>
        <v>2843.684657298706</v>
      </c>
      <c r="M204" s="696">
        <v>16.600000000000001</v>
      </c>
    </row>
    <row r="205" spans="1:13" hidden="1" x14ac:dyDescent="0.2">
      <c r="A205" s="682"/>
      <c r="B205" s="683"/>
      <c r="C205" s="683"/>
      <c r="D205" s="683"/>
      <c r="E205" s="683"/>
      <c r="F205" s="683"/>
      <c r="G205" s="683"/>
      <c r="H205" s="683"/>
      <c r="I205" s="689">
        <f>(I208-I198)/10*7+I198</f>
        <v>1791.3717475447486</v>
      </c>
      <c r="J205" s="689">
        <f>(J208-J198)/10*7+J198</f>
        <v>1891.4785141653967</v>
      </c>
      <c r="K205" s="689">
        <f>(K208-K198)/10*7+K198</f>
        <v>2088.6729774917599</v>
      </c>
      <c r="L205" s="694">
        <f>(L208-L198)/10*7+L198</f>
        <v>2863.7159858894402</v>
      </c>
      <c r="M205" s="696">
        <v>16.7</v>
      </c>
    </row>
    <row r="206" spans="1:13" hidden="1" x14ac:dyDescent="0.2">
      <c r="A206" s="682"/>
      <c r="B206" s="683"/>
      <c r="C206" s="683"/>
      <c r="D206" s="683"/>
      <c r="E206" s="683"/>
      <c r="F206" s="683"/>
      <c r="G206" s="683"/>
      <c r="H206" s="683"/>
      <c r="I206" s="689">
        <f>(I208-I198)/10*8+I198</f>
        <v>1804.9655024054421</v>
      </c>
      <c r="J206" s="689">
        <f>(J208-J198)/10*8+J198</f>
        <v>1906.1748774598607</v>
      </c>
      <c r="K206" s="689">
        <f>(K208-K198)/10*8+K198</f>
        <v>2105.788374610574</v>
      </c>
      <c r="L206" s="694">
        <f>(L208-L198)/10*8+L198</f>
        <v>2883.7473144801747</v>
      </c>
      <c r="M206" s="696">
        <v>16.8</v>
      </c>
    </row>
    <row r="207" spans="1:13" hidden="1" x14ac:dyDescent="0.2">
      <c r="A207" s="682"/>
      <c r="B207" s="683"/>
      <c r="C207" s="683"/>
      <c r="D207" s="683"/>
      <c r="E207" s="683"/>
      <c r="F207" s="683"/>
      <c r="G207" s="683"/>
      <c r="H207" s="683"/>
      <c r="I207" s="689">
        <f>(I208-I198)/10*9+I198</f>
        <v>1818.5592572661353</v>
      </c>
      <c r="J207" s="689">
        <f>(J208-J198)/10*9+J198</f>
        <v>1920.8712407543248</v>
      </c>
      <c r="K207" s="689">
        <f>(K208-K198)/10*9+K198</f>
        <v>2122.9037717293882</v>
      </c>
      <c r="L207" s="694">
        <f>(L208-L198)/10*9+L198</f>
        <v>2903.7786430709089</v>
      </c>
      <c r="M207" s="696">
        <v>16.899999999999999</v>
      </c>
    </row>
    <row r="208" spans="1:13" hidden="1" x14ac:dyDescent="0.2">
      <c r="A208" s="682"/>
      <c r="B208" s="683"/>
      <c r="C208" s="683"/>
      <c r="D208" s="683"/>
      <c r="E208" s="683"/>
      <c r="F208" s="683"/>
      <c r="G208" s="683"/>
      <c r="H208" s="683"/>
      <c r="I208" s="689">
        <v>1832.1530121268288</v>
      </c>
      <c r="J208" s="689">
        <v>1935.5676040487888</v>
      </c>
      <c r="K208" s="689">
        <v>2140.0191688482023</v>
      </c>
      <c r="L208" s="694">
        <v>2923.8099716616434</v>
      </c>
      <c r="M208" s="696">
        <v>17</v>
      </c>
    </row>
    <row r="209" spans="1:13" hidden="1" x14ac:dyDescent="0.2">
      <c r="A209" s="682"/>
      <c r="B209" s="683"/>
      <c r="C209" s="683"/>
      <c r="D209" s="683"/>
      <c r="E209" s="683"/>
      <c r="F209" s="683"/>
      <c r="G209" s="683"/>
      <c r="H209" s="683"/>
      <c r="I209" s="689">
        <f>(I218-I208)/10*1+I208</f>
        <v>1842.4906341143819</v>
      </c>
      <c r="J209" s="689">
        <f>(J218-J208)/10*1+J208</f>
        <v>1951.0868473425894</v>
      </c>
      <c r="K209" s="689">
        <f>(K218-K208)/10*1+K208</f>
        <v>2158.2217240687933</v>
      </c>
      <c r="L209" s="694">
        <f>(L218-L208)/10*1+L208</f>
        <v>2945.2511813530355</v>
      </c>
      <c r="M209" s="696">
        <v>17.100000000000001</v>
      </c>
    </row>
    <row r="210" spans="1:13" hidden="1" x14ac:dyDescent="0.2">
      <c r="A210" s="682"/>
      <c r="B210" s="683"/>
      <c r="C210" s="683"/>
      <c r="D210" s="683"/>
      <c r="E210" s="683"/>
      <c r="F210" s="683"/>
      <c r="G210" s="683"/>
      <c r="H210" s="683"/>
      <c r="I210" s="689">
        <f>(I218-I208)/10*2+I208</f>
        <v>1852.8282561019348</v>
      </c>
      <c r="J210" s="689">
        <f>(J218-J208)/10*2+J208</f>
        <v>1966.60609063639</v>
      </c>
      <c r="K210" s="689">
        <f>(K218-K208)/10*2+K208</f>
        <v>2176.4242792893847</v>
      </c>
      <c r="L210" s="694">
        <f>(L218-L208)/10*2+L208</f>
        <v>2966.6923910444275</v>
      </c>
      <c r="M210" s="696">
        <v>17.2</v>
      </c>
    </row>
    <row r="211" spans="1:13" hidden="1" x14ac:dyDescent="0.2">
      <c r="A211" s="682"/>
      <c r="B211" s="683"/>
      <c r="C211" s="683"/>
      <c r="D211" s="683"/>
      <c r="E211" s="683"/>
      <c r="F211" s="683"/>
      <c r="G211" s="683"/>
      <c r="H211" s="683"/>
      <c r="I211" s="689">
        <f>(I218-I208)/10*3+I208</f>
        <v>1863.1658780894877</v>
      </c>
      <c r="J211" s="689">
        <f>(J218-J208)/10*3+J208</f>
        <v>1982.1253339301907</v>
      </c>
      <c r="K211" s="689">
        <f>(K218-K208)/10*3+K208</f>
        <v>2194.6268345099761</v>
      </c>
      <c r="L211" s="694">
        <f>(L218-L208)/10*3+L208</f>
        <v>2988.1336007358195</v>
      </c>
      <c r="M211" s="696">
        <v>17.3</v>
      </c>
    </row>
    <row r="212" spans="1:13" hidden="1" x14ac:dyDescent="0.2">
      <c r="A212" s="682"/>
      <c r="B212" s="683"/>
      <c r="C212" s="683"/>
      <c r="D212" s="683"/>
      <c r="E212" s="683"/>
      <c r="F212" s="683"/>
      <c r="G212" s="683"/>
      <c r="H212" s="683"/>
      <c r="I212" s="689">
        <f>(I218-I208)/10*4+I208</f>
        <v>1873.5035000770408</v>
      </c>
      <c r="J212" s="689">
        <f>(J218-J208)/10*4+J208</f>
        <v>1997.6445772239913</v>
      </c>
      <c r="K212" s="689">
        <f>(K218-K208)/10*4+K208</f>
        <v>2212.8293897305671</v>
      </c>
      <c r="L212" s="694">
        <f>(L218-L208)/10*4+L208</f>
        <v>3009.5748104272116</v>
      </c>
      <c r="M212" s="696">
        <v>17.399999999999999</v>
      </c>
    </row>
    <row r="213" spans="1:13" hidden="1" x14ac:dyDescent="0.2">
      <c r="A213" s="682"/>
      <c r="B213" s="683"/>
      <c r="C213" s="683"/>
      <c r="D213" s="683"/>
      <c r="E213" s="683"/>
      <c r="F213" s="683"/>
      <c r="G213" s="683"/>
      <c r="H213" s="683"/>
      <c r="I213" s="689">
        <f>(I218-I208)/10*5+I208</f>
        <v>1883.8411220645939</v>
      </c>
      <c r="J213" s="689">
        <f>(J218-J208)/10*5+J208</f>
        <v>2013.1638205177919</v>
      </c>
      <c r="K213" s="689">
        <f>(K218-K208)/10*5+K208</f>
        <v>2231.031944951158</v>
      </c>
      <c r="L213" s="694">
        <f>(L218-L208)/10*5+L208</f>
        <v>3031.0160201186036</v>
      </c>
      <c r="M213" s="696">
        <v>17.5</v>
      </c>
    </row>
    <row r="214" spans="1:13" hidden="1" x14ac:dyDescent="0.2">
      <c r="A214" s="682"/>
      <c r="B214" s="683"/>
      <c r="C214" s="683"/>
      <c r="D214" s="683"/>
      <c r="E214" s="683"/>
      <c r="F214" s="683"/>
      <c r="G214" s="683"/>
      <c r="H214" s="683"/>
      <c r="I214" s="689">
        <f>(I218-I208)/10*6+I208</f>
        <v>1894.1787440521468</v>
      </c>
      <c r="J214" s="689">
        <f>(J218-J208)/10*6+J208</f>
        <v>2028.6830638115925</v>
      </c>
      <c r="K214" s="689">
        <f>(K218-K208)/10*6+K208</f>
        <v>2249.2345001717495</v>
      </c>
      <c r="L214" s="694">
        <f>(L218-L208)/10*6+L208</f>
        <v>3052.4572298099961</v>
      </c>
      <c r="M214" s="696">
        <v>17.600000000000001</v>
      </c>
    </row>
    <row r="215" spans="1:13" hidden="1" x14ac:dyDescent="0.2">
      <c r="A215" s="682"/>
      <c r="B215" s="683"/>
      <c r="C215" s="683"/>
      <c r="D215" s="683"/>
      <c r="E215" s="683"/>
      <c r="F215" s="683"/>
      <c r="G215" s="683"/>
      <c r="H215" s="683"/>
      <c r="I215" s="689">
        <f>(I218-I208)/10*7+I208</f>
        <v>1904.5163660396997</v>
      </c>
      <c r="J215" s="689">
        <f>(J218-J208)/10*7+J208</f>
        <v>2044.2023071053932</v>
      </c>
      <c r="K215" s="689">
        <f>(K218-K208)/10*7+K208</f>
        <v>2267.4370553923409</v>
      </c>
      <c r="L215" s="694">
        <f>(L218-L208)/10*7+L208</f>
        <v>3073.8984395013881</v>
      </c>
      <c r="M215" s="696">
        <v>17.7</v>
      </c>
    </row>
    <row r="216" spans="1:13" hidden="1" x14ac:dyDescent="0.2">
      <c r="A216" s="682"/>
      <c r="B216" s="683"/>
      <c r="C216" s="683"/>
      <c r="D216" s="683"/>
      <c r="E216" s="683"/>
      <c r="F216" s="683"/>
      <c r="G216" s="683"/>
      <c r="H216" s="683"/>
      <c r="I216" s="689">
        <f>(I218-I208)/10*8+I208</f>
        <v>1914.8539880272529</v>
      </c>
      <c r="J216" s="689">
        <f>(J218-J208)/10*8+J208</f>
        <v>2059.7215503991938</v>
      </c>
      <c r="K216" s="689">
        <f>(K218-K208)/10*8+K208</f>
        <v>2285.6396106129318</v>
      </c>
      <c r="L216" s="694">
        <f>(L218-L208)/10*8+L208</f>
        <v>3095.3396491927801</v>
      </c>
      <c r="M216" s="696">
        <v>17.8</v>
      </c>
    </row>
    <row r="217" spans="1:13" hidden="1" x14ac:dyDescent="0.2">
      <c r="A217" s="682"/>
      <c r="B217" s="683"/>
      <c r="C217" s="683"/>
      <c r="D217" s="683"/>
      <c r="E217" s="683"/>
      <c r="F217" s="683"/>
      <c r="G217" s="683"/>
      <c r="H217" s="683"/>
      <c r="I217" s="689">
        <f>(I218-I208)/10*9+I208</f>
        <v>1925.191610014806</v>
      </c>
      <c r="J217" s="689">
        <f>(J218-J208)/10*9+J208</f>
        <v>2075.2407936929944</v>
      </c>
      <c r="K217" s="689">
        <f>(K218-K208)/10*9+K208</f>
        <v>2303.8421658335228</v>
      </c>
      <c r="L217" s="694">
        <f>(L218-L208)/10*9+L208</f>
        <v>3116.7808588841722</v>
      </c>
      <c r="M217" s="696">
        <v>17.899999999999999</v>
      </c>
    </row>
    <row r="218" spans="1:13" hidden="1" x14ac:dyDescent="0.2">
      <c r="A218" s="682"/>
      <c r="B218" s="683"/>
      <c r="C218" s="683"/>
      <c r="D218" s="683"/>
      <c r="E218" s="683"/>
      <c r="F218" s="683"/>
      <c r="G218" s="683"/>
      <c r="H218" s="683"/>
      <c r="I218" s="689">
        <v>1935.5292320023589</v>
      </c>
      <c r="J218" s="689">
        <v>2090.7600369867951</v>
      </c>
      <c r="K218" s="689">
        <v>2322.0447210541142</v>
      </c>
      <c r="L218" s="694">
        <v>3138.2220685755642</v>
      </c>
      <c r="M218" s="696">
        <v>18</v>
      </c>
    </row>
    <row r="219" spans="1:13" hidden="1" x14ac:dyDescent="0.2">
      <c r="A219" s="682"/>
      <c r="B219" s="683"/>
      <c r="C219" s="683"/>
      <c r="D219" s="683"/>
      <c r="E219" s="683"/>
      <c r="F219" s="683"/>
      <c r="G219" s="683"/>
      <c r="H219" s="683"/>
      <c r="I219" s="689">
        <f>(I228-I218)/10*1+I218</f>
        <v>1950.476308802123</v>
      </c>
      <c r="J219" s="689">
        <f>(J228-J218)/10*1+J218</f>
        <v>2100.5840332881157</v>
      </c>
      <c r="K219" s="689">
        <f>(K228-K218)/10*1+K218</f>
        <v>2342.4402489487029</v>
      </c>
      <c r="L219" s="694">
        <f>(L228-L218)/10*1+L218</f>
        <v>3162.4998617180077</v>
      </c>
      <c r="M219" s="696">
        <v>18.100000000000001</v>
      </c>
    </row>
    <row r="220" spans="1:13" hidden="1" x14ac:dyDescent="0.2">
      <c r="A220" s="682"/>
      <c r="B220" s="683"/>
      <c r="C220" s="683"/>
      <c r="D220" s="683"/>
      <c r="E220" s="683"/>
      <c r="F220" s="683"/>
      <c r="G220" s="683"/>
      <c r="H220" s="683"/>
      <c r="I220" s="689">
        <f>(I228-I218)/10*2+I218</f>
        <v>1965.423385601887</v>
      </c>
      <c r="J220" s="689">
        <f>(J228-J218)/10*2+J218</f>
        <v>2110.408029589436</v>
      </c>
      <c r="K220" s="689">
        <f>(K228-K218)/10*2+K218</f>
        <v>2362.8357768432916</v>
      </c>
      <c r="L220" s="694">
        <f>(L228-L218)/10*2+L218</f>
        <v>3186.7776548604515</v>
      </c>
      <c r="M220" s="696">
        <v>18.2</v>
      </c>
    </row>
    <row r="221" spans="1:13" hidden="1" x14ac:dyDescent="0.2">
      <c r="A221" s="682"/>
      <c r="B221" s="683"/>
      <c r="C221" s="683"/>
      <c r="D221" s="683"/>
      <c r="E221" s="683"/>
      <c r="F221" s="683"/>
      <c r="G221" s="683"/>
      <c r="H221" s="683"/>
      <c r="I221" s="689">
        <f>(I228-I218)/10*3+I218</f>
        <v>1980.3704624016511</v>
      </c>
      <c r="J221" s="689">
        <f>(J228-J218)/10*3+J218</f>
        <v>2120.2320258907566</v>
      </c>
      <c r="K221" s="689">
        <f>(K228-K218)/10*3+K218</f>
        <v>2383.2313047378798</v>
      </c>
      <c r="L221" s="694">
        <f>(L228-L218)/10*3+L218</f>
        <v>3211.055448002895</v>
      </c>
      <c r="M221" s="696">
        <v>18.3</v>
      </c>
    </row>
    <row r="222" spans="1:13" hidden="1" x14ac:dyDescent="0.2">
      <c r="A222" s="682"/>
      <c r="B222" s="683"/>
      <c r="C222" s="683"/>
      <c r="D222" s="683"/>
      <c r="E222" s="683"/>
      <c r="F222" s="683"/>
      <c r="G222" s="683"/>
      <c r="H222" s="683"/>
      <c r="I222" s="689">
        <f>(I228-I218)/10*4+I218</f>
        <v>1995.3175392014152</v>
      </c>
      <c r="J222" s="689">
        <f>(J228-J218)/10*4+J218</f>
        <v>2130.0560221920769</v>
      </c>
      <c r="K222" s="689">
        <f>(K228-K218)/10*4+K218</f>
        <v>2403.6268326324684</v>
      </c>
      <c r="L222" s="694">
        <f>(L228-L218)/10*4+L218</f>
        <v>3235.3332411453384</v>
      </c>
      <c r="M222" s="696">
        <v>18.399999999999999</v>
      </c>
    </row>
    <row r="223" spans="1:13" hidden="1" x14ac:dyDescent="0.2">
      <c r="A223" s="682"/>
      <c r="B223" s="683"/>
      <c r="C223" s="683"/>
      <c r="D223" s="683"/>
      <c r="E223" s="683"/>
      <c r="F223" s="683"/>
      <c r="G223" s="683"/>
      <c r="H223" s="683"/>
      <c r="I223" s="689">
        <f>(I228-I218)/10*5+I218</f>
        <v>2010.2646160011795</v>
      </c>
      <c r="J223" s="689">
        <f>(J228-J218)/10*5+J218</f>
        <v>2139.8800184933975</v>
      </c>
      <c r="K223" s="689">
        <f>(K228-K218)/10*5+K218</f>
        <v>2424.0223605270571</v>
      </c>
      <c r="L223" s="694">
        <f>(L228-L218)/10*5+L218</f>
        <v>3259.6110342877819</v>
      </c>
      <c r="M223" s="696">
        <v>18.5</v>
      </c>
    </row>
    <row r="224" spans="1:13" hidden="1" x14ac:dyDescent="0.2">
      <c r="A224" s="682"/>
      <c r="B224" s="683"/>
      <c r="C224" s="683"/>
      <c r="D224" s="683"/>
      <c r="E224" s="683"/>
      <c r="F224" s="683"/>
      <c r="G224" s="683"/>
      <c r="H224" s="683"/>
      <c r="I224" s="689">
        <f>(I228-I218)/10*6+I218</f>
        <v>2025.2116928009436</v>
      </c>
      <c r="J224" s="689">
        <f>(J228-J218)/10*6+J218</f>
        <v>2149.7040147947182</v>
      </c>
      <c r="K224" s="689">
        <f>(K228-K218)/10*6+K218</f>
        <v>2444.4178884216458</v>
      </c>
      <c r="L224" s="694">
        <f>(L228-L218)/10*6+L218</f>
        <v>3283.8888274302258</v>
      </c>
      <c r="M224" s="696">
        <v>18.600000000000001</v>
      </c>
    </row>
    <row r="225" spans="1:13" hidden="1" x14ac:dyDescent="0.2">
      <c r="A225" s="682"/>
      <c r="B225" s="683"/>
      <c r="C225" s="683"/>
      <c r="D225" s="683"/>
      <c r="E225" s="683"/>
      <c r="F225" s="683"/>
      <c r="G225" s="683"/>
      <c r="H225" s="683"/>
      <c r="I225" s="689">
        <f>(I228-I218)/10*7+I218</f>
        <v>2040.1587696007077</v>
      </c>
      <c r="J225" s="689">
        <f>(J228-J218)/10*7+J218</f>
        <v>2159.5280110960384</v>
      </c>
      <c r="K225" s="689">
        <f>(K228-K218)/10*7+K218</f>
        <v>2464.8134163162345</v>
      </c>
      <c r="L225" s="694">
        <f>(L228-L218)/10*7+L218</f>
        <v>3308.1666205726692</v>
      </c>
      <c r="M225" s="696">
        <v>18.7</v>
      </c>
    </row>
    <row r="226" spans="1:13" hidden="1" x14ac:dyDescent="0.2">
      <c r="A226" s="682"/>
      <c r="B226" s="683"/>
      <c r="C226" s="683"/>
      <c r="D226" s="683"/>
      <c r="E226" s="683"/>
      <c r="F226" s="683"/>
      <c r="G226" s="683"/>
      <c r="H226" s="683"/>
      <c r="I226" s="689">
        <f>(I228-I218)/10*8+I218</f>
        <v>2055.1058464004718</v>
      </c>
      <c r="J226" s="689">
        <f>(J228-J218)/10*8+J218</f>
        <v>2169.3520073973591</v>
      </c>
      <c r="K226" s="689">
        <f>(K228-K218)/10*8+K218</f>
        <v>2485.2089442108227</v>
      </c>
      <c r="L226" s="694">
        <f>(L228-L218)/10*8+L218</f>
        <v>3332.4444137151127</v>
      </c>
      <c r="M226" s="696">
        <v>18.8</v>
      </c>
    </row>
    <row r="227" spans="1:13" hidden="1" x14ac:dyDescent="0.2">
      <c r="A227" s="682"/>
      <c r="B227" s="683"/>
      <c r="C227" s="683"/>
      <c r="D227" s="683"/>
      <c r="E227" s="683"/>
      <c r="F227" s="683"/>
      <c r="G227" s="683"/>
      <c r="H227" s="683"/>
      <c r="I227" s="689">
        <f>(I228-I218)/10*9+I218</f>
        <v>2070.0529232002359</v>
      </c>
      <c r="J227" s="689">
        <f>(J228-J218)/10*9+J218</f>
        <v>2179.1760036986793</v>
      </c>
      <c r="K227" s="689">
        <f>(K228-K218)/10*9+K218</f>
        <v>2505.6044721054113</v>
      </c>
      <c r="L227" s="694">
        <f>(L228-L218)/10*9+L218</f>
        <v>3356.7222068575566</v>
      </c>
      <c r="M227" s="696">
        <v>18.899999999999999</v>
      </c>
    </row>
    <row r="228" spans="1:13" ht="13.5" hidden="1" thickBot="1" x14ac:dyDescent="0.25">
      <c r="A228" s="685"/>
      <c r="B228" s="711"/>
      <c r="C228" s="711"/>
      <c r="D228" s="711"/>
      <c r="E228" s="711"/>
      <c r="F228" s="711"/>
      <c r="G228" s="711"/>
      <c r="H228" s="711"/>
      <c r="I228" s="690">
        <v>2085</v>
      </c>
      <c r="J228" s="690">
        <v>2189</v>
      </c>
      <c r="K228" s="690">
        <v>2526</v>
      </c>
      <c r="L228" s="695">
        <v>3381</v>
      </c>
      <c r="M228" s="697">
        <v>19</v>
      </c>
    </row>
  </sheetData>
  <sheetProtection sheet="1" objects="1" scenarios="1"/>
  <mergeCells count="30">
    <mergeCell ref="A1:I1"/>
    <mergeCell ref="A2:I2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M36:M37"/>
    <mergeCell ref="A35:L35"/>
    <mergeCell ref="B32:C32"/>
    <mergeCell ref="D32:E32"/>
    <mergeCell ref="B33:C33"/>
    <mergeCell ref="D33:E33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E8EF-FB68-4D83-8855-10DF863B379D}">
  <dimension ref="A1:AA73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22" width="15.7109375" customWidth="1"/>
  </cols>
  <sheetData>
    <row r="1" spans="1:10" ht="21" thickTop="1" x14ac:dyDescent="0.3">
      <c r="A1" s="746" t="s">
        <v>679</v>
      </c>
      <c r="B1" s="747"/>
      <c r="C1" s="747"/>
      <c r="D1" s="747"/>
      <c r="E1" s="747"/>
      <c r="F1" s="747"/>
      <c r="G1" s="747"/>
      <c r="H1" s="747"/>
      <c r="I1" s="748"/>
      <c r="J1" s="5"/>
    </row>
    <row r="2" spans="1:10" ht="21" thickBot="1" x14ac:dyDescent="0.35">
      <c r="A2" s="739" t="s">
        <v>680</v>
      </c>
      <c r="B2" s="740"/>
      <c r="C2" s="740"/>
      <c r="D2" s="740"/>
      <c r="E2" s="740"/>
      <c r="F2" s="740"/>
      <c r="G2" s="740"/>
      <c r="H2" s="740"/>
      <c r="I2" s="741"/>
      <c r="J2" s="5"/>
    </row>
    <row r="3" spans="1:10" ht="13.5" thickTop="1" x14ac:dyDescent="0.2">
      <c r="A3" s="18"/>
      <c r="B3" s="40"/>
      <c r="C3" s="40"/>
      <c r="D3" s="19"/>
      <c r="E3" s="19"/>
      <c r="F3" s="19"/>
      <c r="G3" s="19"/>
      <c r="H3" s="19"/>
      <c r="I3" s="20"/>
    </row>
    <row r="4" spans="1:10" x14ac:dyDescent="0.2">
      <c r="A4" s="22"/>
      <c r="B4" s="17" t="s">
        <v>23</v>
      </c>
      <c r="I4" s="21"/>
    </row>
    <row r="5" spans="1:10" x14ac:dyDescent="0.2">
      <c r="A5" s="512" t="s">
        <v>681</v>
      </c>
      <c r="B5" s="513">
        <v>15</v>
      </c>
      <c r="C5" s="24" t="s">
        <v>682</v>
      </c>
      <c r="I5" s="21"/>
    </row>
    <row r="6" spans="1:10" x14ac:dyDescent="0.2">
      <c r="A6" s="512" t="s">
        <v>683</v>
      </c>
      <c r="B6" s="513">
        <v>4</v>
      </c>
      <c r="C6" s="24"/>
      <c r="F6" s="23"/>
      <c r="I6" s="21"/>
    </row>
    <row r="7" spans="1:10" x14ac:dyDescent="0.2">
      <c r="A7" s="22"/>
      <c r="F7" s="23"/>
      <c r="I7" s="21"/>
    </row>
    <row r="8" spans="1:10" x14ac:dyDescent="0.2">
      <c r="A8" s="22"/>
      <c r="F8" s="23"/>
      <c r="I8" s="21"/>
    </row>
    <row r="9" spans="1:10" x14ac:dyDescent="0.2">
      <c r="A9" s="22"/>
      <c r="F9" s="23"/>
      <c r="I9" s="21"/>
    </row>
    <row r="10" spans="1:10" x14ac:dyDescent="0.2">
      <c r="A10" s="22"/>
      <c r="I10" s="21"/>
    </row>
    <row r="11" spans="1:10" x14ac:dyDescent="0.2">
      <c r="A11" s="22"/>
      <c r="I11" s="21"/>
    </row>
    <row r="12" spans="1:10" x14ac:dyDescent="0.2">
      <c r="A12" s="22"/>
      <c r="I12" s="21"/>
    </row>
    <row r="13" spans="1:10" ht="13.5" thickBot="1" x14ac:dyDescent="0.25">
      <c r="A13" s="22"/>
      <c r="I13" s="21"/>
    </row>
    <row r="14" spans="1:10" ht="13.5" thickTop="1" x14ac:dyDescent="0.2">
      <c r="A14" s="744" t="s">
        <v>22</v>
      </c>
      <c r="B14" s="742" t="s">
        <v>49</v>
      </c>
      <c r="C14" s="742"/>
      <c r="D14" s="514" t="s">
        <v>684</v>
      </c>
      <c r="I14" s="21"/>
    </row>
    <row r="15" spans="1:10" x14ac:dyDescent="0.2">
      <c r="A15" s="871"/>
      <c r="B15" s="920" t="s">
        <v>44</v>
      </c>
      <c r="C15" s="872"/>
      <c r="D15" s="515" t="s">
        <v>44</v>
      </c>
      <c r="I15" s="21"/>
    </row>
    <row r="16" spans="1:10" x14ac:dyDescent="0.2">
      <c r="A16" s="516" t="s">
        <v>94</v>
      </c>
      <c r="B16" s="921" t="s">
        <v>446</v>
      </c>
      <c r="C16" s="922"/>
      <c r="D16" s="517">
        <f>IF($B$6&lt;0.5,"NOT POSSIBLE",IF($B$6&gt;4,"NOT POSSIBLE",((VLOOKUP($B$6,A33:B51,2)))*(($B$5/100)^0.5)*1000))</f>
        <v>195.9729573180953</v>
      </c>
      <c r="I16" s="21"/>
    </row>
    <row r="17" spans="1:14" x14ac:dyDescent="0.2">
      <c r="A17" s="518" t="s">
        <v>95</v>
      </c>
      <c r="B17" s="920" t="s">
        <v>447</v>
      </c>
      <c r="C17" s="872"/>
      <c r="D17" s="517">
        <f>IF($B$6&lt;0.6,"NOT POSSIBLE",IF($B$6&gt;4,"NOT POSSIBLE",((VLOOKUP($B$6,C33:D51,2)))*(($B$5/100)^0.5)*1000))</f>
        <v>324.94330274680226</v>
      </c>
      <c r="I17" s="21"/>
      <c r="N17" s="519"/>
    </row>
    <row r="18" spans="1:14" x14ac:dyDescent="0.2">
      <c r="A18" s="516" t="s">
        <v>96</v>
      </c>
      <c r="B18" s="921" t="s">
        <v>446</v>
      </c>
      <c r="C18" s="922"/>
      <c r="D18" s="517">
        <f>IF($B$6&lt;0.6,"NOT POSSIBLE",IF($B$6&gt;4,"NOT POSSIBLE",((VLOOKUP($B$6,A33:B51,2)))*(($B$5/100)^0.5)*1000))</f>
        <v>195.9729573180953</v>
      </c>
      <c r="I18" s="21"/>
      <c r="N18" s="519"/>
    </row>
    <row r="19" spans="1:14" x14ac:dyDescent="0.2">
      <c r="A19" s="518" t="s">
        <v>97</v>
      </c>
      <c r="B19" s="920" t="s">
        <v>447</v>
      </c>
      <c r="C19" s="872"/>
      <c r="D19" s="517">
        <f>IF($B$6&lt;0.6,"NOT POSSIBLE",IF($B$6&gt;4,"NOT POSSIBLE",((VLOOKUP($B$6,C33:D51,2)))*(($B$5/100)^0.5)*1000))</f>
        <v>324.94330274680226</v>
      </c>
      <c r="I19" s="21"/>
      <c r="N19" s="519"/>
    </row>
    <row r="20" spans="1:14" x14ac:dyDescent="0.2">
      <c r="A20" s="516" t="s">
        <v>98</v>
      </c>
      <c r="B20" s="921" t="s">
        <v>448</v>
      </c>
      <c r="C20" s="922"/>
      <c r="D20" s="517">
        <f>IF($B$6&lt;0.6,"NOT POSSIBLE",IF($B$6&gt;4,"NOT POSSIBLE",((VLOOKUP($B$6,E33:F51,2)))*(($B$5/100)^0.5)*1000))</f>
        <v>557.70960185386798</v>
      </c>
      <c r="I20" s="21"/>
    </row>
    <row r="21" spans="1:14" x14ac:dyDescent="0.2">
      <c r="A21" s="518" t="s">
        <v>458</v>
      </c>
      <c r="B21" s="920" t="s">
        <v>450</v>
      </c>
      <c r="C21" s="872"/>
      <c r="D21" s="517">
        <f>IF($B$6&lt;0.6,"NOT POSSIBLE",IF($B$6&gt;4,"NOT POSSIBLE",((VLOOKUP($B$6,G33:H51,2)))*(($B$5/100)^0.5)*1000))</f>
        <v>1281.957487594655</v>
      </c>
      <c r="I21" s="21"/>
    </row>
    <row r="22" spans="1:14" x14ac:dyDescent="0.2">
      <c r="A22" s="520" t="s">
        <v>751</v>
      </c>
      <c r="B22" s="923" t="s">
        <v>489</v>
      </c>
      <c r="C22" s="924"/>
      <c r="D22" s="517">
        <f>IF($B$6&lt;0.6,"NOT POSSIBLE",IF($B$6&gt;4,"NOT POSSIBLE",((VLOOKUP($B$6,I33:J51,2)))*(($B$5/100)^0.5)*1000))</f>
        <v>1471.7336715588183</v>
      </c>
      <c r="I22" s="21"/>
    </row>
    <row r="23" spans="1:14" x14ac:dyDescent="0.2">
      <c r="A23" s="518" t="s">
        <v>99</v>
      </c>
      <c r="B23" s="920" t="s">
        <v>448</v>
      </c>
      <c r="C23" s="872"/>
      <c r="D23" s="517">
        <f>IF($B$6&lt;0.6,"NOT POSSIBLE",IF($B$6&gt;4,"NOT POSSIBLE",((VLOOKUP($B$6,E33:F51,2)))*(($B$5/100)^0.5)*1000))</f>
        <v>557.70960185386798</v>
      </c>
      <c r="I23" s="21"/>
    </row>
    <row r="24" spans="1:14" x14ac:dyDescent="0.2">
      <c r="A24" s="520" t="s">
        <v>101</v>
      </c>
      <c r="B24" s="923" t="s">
        <v>450</v>
      </c>
      <c r="C24" s="924"/>
      <c r="D24" s="517">
        <f>IF($B$6&lt;0.6,"NOT POSSIBLE",IF($B$6&gt;4,"NOT POSSIBLE",((VLOOKUP($B$6,G33:H51,2)))*(($B$5/100)^0.5)*1000))</f>
        <v>1281.957487594655</v>
      </c>
      <c r="I24" s="21"/>
    </row>
    <row r="25" spans="1:14" x14ac:dyDescent="0.2">
      <c r="A25" s="518" t="s">
        <v>486</v>
      </c>
      <c r="B25" s="920" t="s">
        <v>489</v>
      </c>
      <c r="C25" s="872"/>
      <c r="D25" s="517">
        <f>IF($B$6&lt;0.6,"NOT POSSIBLE",IF($B$6&gt;4,"NOT POSSIBLE",((VLOOKUP($B$6,I33:J51,2)))*(($B$5/100)^0.5)*1000))</f>
        <v>1471.7336715588183</v>
      </c>
      <c r="I25" s="21"/>
    </row>
    <row r="26" spans="1:14" x14ac:dyDescent="0.2">
      <c r="A26" s="520" t="s">
        <v>487</v>
      </c>
      <c r="B26" s="923" t="s">
        <v>490</v>
      </c>
      <c r="C26" s="924"/>
      <c r="D26" s="517">
        <f>IF($B$6&lt;0.6,"NOT POSSIBLE",IF($B$6&gt;4,"NOT POSSIBLE",((VLOOKUP($B$6,K33:L51,2)))*(($B$5/100)^0.5)*1000))</f>
        <v>1471.7336715588183</v>
      </c>
      <c r="I26" s="21"/>
    </row>
    <row r="27" spans="1:14" x14ac:dyDescent="0.2">
      <c r="A27" s="518" t="s">
        <v>488</v>
      </c>
      <c r="B27" s="920" t="s">
        <v>456</v>
      </c>
      <c r="C27" s="872"/>
      <c r="D27" s="517">
        <f>IF($B$6&lt;0.6,"NOT POSSIBLE",IF($B$6&gt;4,"NOT POSSIBLE",((VLOOKUP($B$6,A55:B72,2)))*(($B$5/100)^0.5)*1000))</f>
        <v>3110.0056270066034</v>
      </c>
      <c r="I27" s="21"/>
    </row>
    <row r="28" spans="1:14" x14ac:dyDescent="0.2">
      <c r="A28" s="520" t="s">
        <v>40</v>
      </c>
      <c r="B28" s="923" t="s">
        <v>457</v>
      </c>
      <c r="C28" s="924"/>
      <c r="D28" s="517">
        <f>IF($B$6&lt;0.6,"NOT POSSIBLE",IF($B$6&gt;4,"NOT POSSIBLE",((VLOOKUP($B$6,C55:D72,2)))*(($B$5/100)^0.5)*1000))</f>
        <v>3253.3060107877236</v>
      </c>
      <c r="I28" s="21"/>
    </row>
    <row r="29" spans="1:14" ht="13.5" customHeight="1" x14ac:dyDescent="0.2">
      <c r="A29" s="518" t="s">
        <v>41</v>
      </c>
      <c r="B29" s="920" t="s">
        <v>464</v>
      </c>
      <c r="C29" s="872"/>
      <c r="D29" s="517">
        <f>IF($B$6&lt;0.6,"NOT POSSIBLE",IF($B$6&gt;4,"NOT POSSIBLE",((VLOOKUP($B$6,E55:F72,2)))*(($B$5/100)^0.5)*1000))</f>
        <v>9333.8898643216271</v>
      </c>
      <c r="I29" s="21"/>
    </row>
    <row r="30" spans="1:14" ht="13.5" customHeight="1" thickBot="1" x14ac:dyDescent="0.25">
      <c r="A30" s="730" t="s">
        <v>42</v>
      </c>
      <c r="B30" s="917" t="s">
        <v>465</v>
      </c>
      <c r="C30" s="918"/>
      <c r="D30" s="521">
        <f>IF($B$6&lt;0.6,"NOT POSSIBLE",IF($B$6&gt;4,"NOT POSSIBLE",((VLOOKUP($B$6,G55:H72,2)))*(($B$5/100)^0.5)*1000))</f>
        <v>8559.2931951184037</v>
      </c>
      <c r="E30" s="28"/>
      <c r="F30" s="28"/>
      <c r="G30" s="28"/>
      <c r="H30" s="28"/>
      <c r="I30" s="29"/>
    </row>
    <row r="31" spans="1:14" ht="13.5" hidden="1" thickTop="1" x14ac:dyDescent="0.2">
      <c r="A31" s="916" t="s">
        <v>685</v>
      </c>
      <c r="B31" s="919"/>
      <c r="C31" s="916" t="s">
        <v>686</v>
      </c>
      <c r="D31" s="919"/>
      <c r="E31" s="916" t="s">
        <v>687</v>
      </c>
      <c r="F31" s="919"/>
      <c r="G31" s="916" t="s">
        <v>688</v>
      </c>
      <c r="H31" s="919"/>
      <c r="I31" s="916" t="s">
        <v>752</v>
      </c>
      <c r="J31" s="914"/>
      <c r="K31" s="913" t="s">
        <v>689</v>
      </c>
      <c r="L31" s="914"/>
    </row>
    <row r="32" spans="1:14" hidden="1" x14ac:dyDescent="0.2">
      <c r="A32" s="522" t="s">
        <v>678</v>
      </c>
      <c r="B32" s="523" t="s">
        <v>649</v>
      </c>
      <c r="C32" s="522" t="s">
        <v>678</v>
      </c>
      <c r="D32" s="523" t="s">
        <v>649</v>
      </c>
      <c r="E32" s="522" t="s">
        <v>678</v>
      </c>
      <c r="F32" s="523" t="s">
        <v>649</v>
      </c>
      <c r="G32" s="522" t="s">
        <v>678</v>
      </c>
      <c r="H32" s="523" t="s">
        <v>649</v>
      </c>
      <c r="I32" s="522" t="s">
        <v>678</v>
      </c>
      <c r="J32" s="523" t="s">
        <v>649</v>
      </c>
      <c r="K32" s="522" t="s">
        <v>678</v>
      </c>
      <c r="L32" s="523" t="s">
        <v>649</v>
      </c>
    </row>
    <row r="33" spans="1:12" hidden="1" x14ac:dyDescent="0.2">
      <c r="A33" s="522">
        <v>0.5</v>
      </c>
      <c r="B33" s="524">
        <v>0.121</v>
      </c>
      <c r="C33" s="522"/>
      <c r="D33" s="523"/>
      <c r="E33" s="522"/>
      <c r="F33" s="523"/>
      <c r="G33" s="522"/>
      <c r="H33" s="523"/>
      <c r="I33" s="522"/>
      <c r="J33" s="523"/>
      <c r="K33" s="525"/>
      <c r="L33" s="526"/>
    </row>
    <row r="34" spans="1:12" hidden="1" x14ac:dyDescent="0.2">
      <c r="A34" s="522">
        <v>0.6</v>
      </c>
      <c r="B34" s="524">
        <v>0.124</v>
      </c>
      <c r="C34" s="522">
        <v>0.6</v>
      </c>
      <c r="D34" s="524">
        <v>0.13400000000000001</v>
      </c>
      <c r="E34" s="522">
        <v>0.6</v>
      </c>
      <c r="F34" s="524">
        <v>0.25</v>
      </c>
      <c r="G34" s="522">
        <v>0.6</v>
      </c>
      <c r="H34" s="524">
        <v>0.59499999999999997</v>
      </c>
      <c r="I34" s="522">
        <v>0.6</v>
      </c>
      <c r="J34" s="524">
        <v>0.67500000000000004</v>
      </c>
      <c r="K34" s="522">
        <v>0.6</v>
      </c>
      <c r="L34" s="524">
        <v>0.64700000000000002</v>
      </c>
    </row>
    <row r="35" spans="1:12" hidden="1" x14ac:dyDescent="0.2">
      <c r="A35" s="522">
        <v>0.8</v>
      </c>
      <c r="B35" s="524">
        <v>0.13600000000000001</v>
      </c>
      <c r="C35" s="522">
        <v>0.8</v>
      </c>
      <c r="D35" s="524">
        <v>0.184</v>
      </c>
      <c r="E35" s="522">
        <v>0.8</v>
      </c>
      <c r="F35" s="524">
        <v>0.314</v>
      </c>
      <c r="G35" s="522">
        <v>0.8</v>
      </c>
      <c r="H35" s="524">
        <v>0.755</v>
      </c>
      <c r="I35" s="522">
        <v>0.8</v>
      </c>
      <c r="J35" s="524">
        <v>0.84899999999999998</v>
      </c>
      <c r="K35" s="522">
        <v>0.8</v>
      </c>
      <c r="L35" s="524">
        <v>0.77</v>
      </c>
    </row>
    <row r="36" spans="1:12" hidden="1" x14ac:dyDescent="0.2">
      <c r="A36" s="522">
        <v>1</v>
      </c>
      <c r="B36" s="524">
        <v>0.153</v>
      </c>
      <c r="C36" s="522">
        <v>1</v>
      </c>
      <c r="D36" s="524">
        <v>0.23100000000000001</v>
      </c>
      <c r="E36" s="522">
        <v>1</v>
      </c>
      <c r="F36" s="524">
        <v>0.378</v>
      </c>
      <c r="G36" s="522">
        <v>1</v>
      </c>
      <c r="H36" s="524">
        <v>0.91300000000000003</v>
      </c>
      <c r="I36" s="522">
        <v>1</v>
      </c>
      <c r="J36" s="524">
        <v>1.03</v>
      </c>
      <c r="K36" s="522">
        <v>1</v>
      </c>
      <c r="L36" s="524">
        <v>0.91600000000000004</v>
      </c>
    </row>
    <row r="37" spans="1:12" hidden="1" x14ac:dyDescent="0.2">
      <c r="A37" s="522">
        <v>1.2</v>
      </c>
      <c r="B37" s="524">
        <v>0.17399999999999999</v>
      </c>
      <c r="C37" s="522">
        <v>1.2</v>
      </c>
      <c r="D37" s="524">
        <v>0.27500000000000002</v>
      </c>
      <c r="E37" s="522">
        <v>1.2</v>
      </c>
      <c r="F37" s="524">
        <v>0.442</v>
      </c>
      <c r="G37" s="522">
        <v>1.2</v>
      </c>
      <c r="H37" s="524">
        <v>1.07</v>
      </c>
      <c r="I37" s="522">
        <v>1.2</v>
      </c>
      <c r="J37" s="524">
        <v>1.22</v>
      </c>
      <c r="K37" s="522">
        <v>1.2</v>
      </c>
      <c r="L37" s="524">
        <v>1.08</v>
      </c>
    </row>
    <row r="38" spans="1:12" hidden="1" x14ac:dyDescent="0.2">
      <c r="A38" s="522">
        <v>1.4</v>
      </c>
      <c r="B38" s="524">
        <v>0.19800000000000001</v>
      </c>
      <c r="C38" s="522">
        <v>1.4</v>
      </c>
      <c r="D38" s="524">
        <v>0.317</v>
      </c>
      <c r="E38" s="522">
        <v>1.4</v>
      </c>
      <c r="F38" s="524">
        <v>0.50700000000000001</v>
      </c>
      <c r="G38" s="522">
        <v>1.4</v>
      </c>
      <c r="H38" s="524">
        <v>1.23</v>
      </c>
      <c r="I38" s="522">
        <v>1.4</v>
      </c>
      <c r="J38" s="524">
        <v>1.41</v>
      </c>
      <c r="K38" s="522">
        <v>1.4</v>
      </c>
      <c r="L38" s="524">
        <v>1.26</v>
      </c>
    </row>
    <row r="39" spans="1:12" hidden="1" x14ac:dyDescent="0.2">
      <c r="A39" s="522">
        <v>1.6</v>
      </c>
      <c r="B39" s="524">
        <v>0.224</v>
      </c>
      <c r="C39" s="522">
        <v>1.6</v>
      </c>
      <c r="D39" s="524">
        <v>0.35699999999999998</v>
      </c>
      <c r="E39" s="522">
        <v>1.6</v>
      </c>
      <c r="F39" s="524">
        <v>0.57399999999999995</v>
      </c>
      <c r="G39" s="522">
        <v>1.6</v>
      </c>
      <c r="H39" s="524">
        <v>1.39</v>
      </c>
      <c r="I39" s="522">
        <v>1.6</v>
      </c>
      <c r="J39" s="524">
        <v>1.61</v>
      </c>
      <c r="K39" s="522">
        <v>1.6</v>
      </c>
      <c r="L39" s="524">
        <v>1.46</v>
      </c>
    </row>
    <row r="40" spans="1:12" hidden="1" x14ac:dyDescent="0.2">
      <c r="A40" s="522">
        <v>1.8</v>
      </c>
      <c r="B40" s="524">
        <v>0.25</v>
      </c>
      <c r="C40" s="522">
        <v>1.8</v>
      </c>
      <c r="D40" s="524">
        <v>0.39700000000000002</v>
      </c>
      <c r="E40" s="522">
        <v>1.8</v>
      </c>
      <c r="F40" s="524">
        <v>0.64200000000000002</v>
      </c>
      <c r="G40" s="522">
        <v>1.8</v>
      </c>
      <c r="H40" s="524">
        <v>1.55</v>
      </c>
      <c r="I40" s="522">
        <v>1.8</v>
      </c>
      <c r="J40" s="524">
        <v>1.81</v>
      </c>
      <c r="K40" s="522">
        <v>1.8</v>
      </c>
      <c r="L40" s="524">
        <v>1.66</v>
      </c>
    </row>
    <row r="41" spans="1:12" hidden="1" x14ac:dyDescent="0.2">
      <c r="A41" s="522">
        <v>2</v>
      </c>
      <c r="B41" s="524">
        <v>0.27700000000000002</v>
      </c>
      <c r="C41" s="522">
        <v>2</v>
      </c>
      <c r="D41" s="524">
        <v>0.436</v>
      </c>
      <c r="E41" s="522">
        <v>2</v>
      </c>
      <c r="F41" s="524">
        <v>0.71299999999999997</v>
      </c>
      <c r="G41" s="522">
        <v>2</v>
      </c>
      <c r="H41" s="524">
        <v>1.71</v>
      </c>
      <c r="I41" s="522">
        <v>2</v>
      </c>
      <c r="J41" s="524">
        <v>2.0099999999999998</v>
      </c>
      <c r="K41" s="522">
        <v>2</v>
      </c>
      <c r="L41" s="524">
        <v>1.88</v>
      </c>
    </row>
    <row r="42" spans="1:12" hidden="1" x14ac:dyDescent="0.2">
      <c r="A42" s="522">
        <v>2.2000000000000002</v>
      </c>
      <c r="B42" s="524">
        <v>0.30299999999999999</v>
      </c>
      <c r="C42" s="522">
        <v>2.2000000000000002</v>
      </c>
      <c r="D42" s="524">
        <v>0.47499999999999998</v>
      </c>
      <c r="E42" s="522">
        <v>2.2000000000000002</v>
      </c>
      <c r="F42" s="524">
        <v>0.78600000000000003</v>
      </c>
      <c r="G42" s="522">
        <v>2.2000000000000002</v>
      </c>
      <c r="H42" s="524">
        <v>1.88</v>
      </c>
      <c r="I42" s="522">
        <v>2.2000000000000002</v>
      </c>
      <c r="J42" s="524">
        <v>2.21</v>
      </c>
      <c r="K42" s="522">
        <v>2.2000000000000002</v>
      </c>
      <c r="L42" s="524">
        <v>2.09</v>
      </c>
    </row>
    <row r="43" spans="1:12" hidden="1" x14ac:dyDescent="0.2">
      <c r="A43" s="522">
        <v>2.4</v>
      </c>
      <c r="B43" s="524">
        <v>0.32800000000000001</v>
      </c>
      <c r="C43" s="522">
        <v>2.4</v>
      </c>
      <c r="D43" s="524">
        <v>0.51500000000000001</v>
      </c>
      <c r="E43" s="522">
        <v>2.4</v>
      </c>
      <c r="F43" s="524">
        <v>0.86</v>
      </c>
      <c r="G43" s="522">
        <v>2.4</v>
      </c>
      <c r="H43" s="524">
        <v>2.04</v>
      </c>
      <c r="I43" s="522">
        <v>2.4</v>
      </c>
      <c r="J43" s="524">
        <v>2.41</v>
      </c>
      <c r="K43" s="522">
        <v>2.4</v>
      </c>
      <c r="L43" s="524">
        <v>2.31</v>
      </c>
    </row>
    <row r="44" spans="1:12" hidden="1" x14ac:dyDescent="0.2">
      <c r="A44" s="522">
        <v>2.6</v>
      </c>
      <c r="B44" s="524">
        <v>0.35199999999999998</v>
      </c>
      <c r="C44" s="522">
        <v>2.6</v>
      </c>
      <c r="D44" s="524">
        <v>0.55500000000000005</v>
      </c>
      <c r="E44" s="522">
        <v>2.6</v>
      </c>
      <c r="F44" s="524">
        <v>0.93600000000000005</v>
      </c>
      <c r="G44" s="522">
        <v>2.6</v>
      </c>
      <c r="H44" s="524">
        <v>2.21</v>
      </c>
      <c r="I44" s="522">
        <v>2.6</v>
      </c>
      <c r="J44" s="524">
        <v>2.61</v>
      </c>
      <c r="K44" s="522">
        <v>2.6</v>
      </c>
      <c r="L44" s="524">
        <v>2.52</v>
      </c>
    </row>
    <row r="45" spans="1:12" hidden="1" x14ac:dyDescent="0.2">
      <c r="A45" s="522">
        <v>2.8</v>
      </c>
      <c r="B45" s="524">
        <v>0.375</v>
      </c>
      <c r="C45" s="522">
        <v>2.8</v>
      </c>
      <c r="D45" s="524">
        <v>0.59499999999999997</v>
      </c>
      <c r="E45" s="522">
        <v>2.8</v>
      </c>
      <c r="F45" s="524">
        <v>1.01</v>
      </c>
      <c r="G45" s="522">
        <v>2.8</v>
      </c>
      <c r="H45" s="524">
        <v>2.38</v>
      </c>
      <c r="I45" s="522">
        <v>2.8</v>
      </c>
      <c r="J45" s="524">
        <v>2.8</v>
      </c>
      <c r="K45" s="522">
        <v>2.8</v>
      </c>
      <c r="L45" s="524">
        <v>2.73</v>
      </c>
    </row>
    <row r="46" spans="1:12" hidden="1" x14ac:dyDescent="0.2">
      <c r="A46" s="522">
        <v>3</v>
      </c>
      <c r="B46" s="527">
        <v>0.39700000000000002</v>
      </c>
      <c r="C46" s="522">
        <v>3</v>
      </c>
      <c r="D46" s="524">
        <v>0.63600000000000001</v>
      </c>
      <c r="E46" s="522">
        <v>3</v>
      </c>
      <c r="F46" s="524">
        <v>1.0900000000000001</v>
      </c>
      <c r="G46" s="522">
        <v>3</v>
      </c>
      <c r="H46" s="524">
        <v>2.5499999999999998</v>
      </c>
      <c r="I46" s="522">
        <v>3</v>
      </c>
      <c r="J46" s="524">
        <v>2.99</v>
      </c>
      <c r="K46" s="522">
        <v>3</v>
      </c>
      <c r="L46" s="524">
        <v>2.93</v>
      </c>
    </row>
    <row r="47" spans="1:12" hidden="1" x14ac:dyDescent="0.2">
      <c r="A47" s="522">
        <v>3.2</v>
      </c>
      <c r="B47" s="524">
        <v>0.41799999999999998</v>
      </c>
      <c r="C47" s="522">
        <v>3.2</v>
      </c>
      <c r="D47" s="524">
        <v>0.67700000000000005</v>
      </c>
      <c r="E47" s="522">
        <v>3.2</v>
      </c>
      <c r="F47" s="524">
        <v>1.17</v>
      </c>
      <c r="G47" s="522">
        <v>3.2</v>
      </c>
      <c r="H47" s="524">
        <v>2.72</v>
      </c>
      <c r="I47" s="522">
        <v>3.2</v>
      </c>
      <c r="J47" s="524">
        <v>3.17</v>
      </c>
      <c r="K47" s="522">
        <v>3.2</v>
      </c>
      <c r="L47" s="524">
        <v>3.13</v>
      </c>
    </row>
    <row r="48" spans="1:12" hidden="1" x14ac:dyDescent="0.2">
      <c r="A48" s="522">
        <v>3.4</v>
      </c>
      <c r="B48" s="524">
        <v>0.439</v>
      </c>
      <c r="C48" s="522">
        <v>3.4</v>
      </c>
      <c r="D48" s="524">
        <v>0.71799999999999997</v>
      </c>
      <c r="E48" s="522">
        <v>3.4</v>
      </c>
      <c r="F48" s="524">
        <v>1.24</v>
      </c>
      <c r="G48" s="522">
        <v>3.4</v>
      </c>
      <c r="H48" s="524">
        <v>2.88</v>
      </c>
      <c r="I48" s="522">
        <v>3.4</v>
      </c>
      <c r="J48" s="524">
        <v>3.34</v>
      </c>
      <c r="K48" s="522">
        <v>3.4</v>
      </c>
      <c r="L48" s="524">
        <v>3.32</v>
      </c>
    </row>
    <row r="49" spans="1:27" hidden="1" x14ac:dyDescent="0.2">
      <c r="A49" s="522">
        <v>3.6</v>
      </c>
      <c r="B49" s="524">
        <v>0.46</v>
      </c>
      <c r="C49" s="522">
        <v>3.6</v>
      </c>
      <c r="D49" s="524">
        <v>0.76</v>
      </c>
      <c r="E49" s="522">
        <v>3.6</v>
      </c>
      <c r="F49" s="524">
        <v>1.31</v>
      </c>
      <c r="G49" s="522">
        <v>3.6</v>
      </c>
      <c r="H49" s="524">
        <v>3.03</v>
      </c>
      <c r="I49" s="522">
        <v>3.6</v>
      </c>
      <c r="J49" s="524">
        <v>3.51</v>
      </c>
      <c r="K49" s="522">
        <v>3.6</v>
      </c>
      <c r="L49" s="524">
        <v>3.49</v>
      </c>
    </row>
    <row r="50" spans="1:27" hidden="1" x14ac:dyDescent="0.2">
      <c r="A50" s="522">
        <v>3.8</v>
      </c>
      <c r="B50" s="524">
        <v>0.48199999999999998</v>
      </c>
      <c r="C50" s="522">
        <v>3.8</v>
      </c>
      <c r="D50" s="524">
        <v>0.8</v>
      </c>
      <c r="E50" s="522">
        <v>3.8</v>
      </c>
      <c r="F50" s="524">
        <v>1.38</v>
      </c>
      <c r="G50" s="522">
        <v>3.8</v>
      </c>
      <c r="H50" s="524">
        <v>3.18</v>
      </c>
      <c r="I50" s="522">
        <v>3.8</v>
      </c>
      <c r="J50" s="524">
        <v>3.66</v>
      </c>
      <c r="K50" s="522">
        <v>3.8</v>
      </c>
      <c r="L50" s="524">
        <v>3.65</v>
      </c>
    </row>
    <row r="51" spans="1:27" ht="13.5" hidden="1" thickBot="1" x14ac:dyDescent="0.25">
      <c r="A51" s="528">
        <v>4</v>
      </c>
      <c r="B51" s="529">
        <v>0.50600000000000001</v>
      </c>
      <c r="C51" s="528">
        <v>4</v>
      </c>
      <c r="D51" s="529">
        <v>0.83899999999999997</v>
      </c>
      <c r="E51" s="528">
        <v>4</v>
      </c>
      <c r="F51" s="529">
        <v>1.44</v>
      </c>
      <c r="G51" s="528">
        <v>4</v>
      </c>
      <c r="H51" s="529">
        <v>3.31</v>
      </c>
      <c r="I51" s="528">
        <v>4</v>
      </c>
      <c r="J51" s="529">
        <v>3.8</v>
      </c>
      <c r="K51" s="528">
        <v>4</v>
      </c>
      <c r="L51" s="529">
        <v>3.8</v>
      </c>
    </row>
    <row r="52" spans="1:27" ht="13.5" hidden="1" thickBot="1" x14ac:dyDescent="0.25">
      <c r="G52" s="530"/>
      <c r="U52" s="531"/>
      <c r="V52" s="531"/>
      <c r="W52" s="531"/>
      <c r="X52" s="531"/>
      <c r="Y52" s="531"/>
      <c r="Z52" s="531"/>
      <c r="AA52" s="531"/>
    </row>
    <row r="53" spans="1:27" ht="13.5" hidden="1" thickBot="1" x14ac:dyDescent="0.25">
      <c r="A53" s="915" t="s">
        <v>690</v>
      </c>
      <c r="B53" s="834"/>
      <c r="C53" s="915" t="s">
        <v>691</v>
      </c>
      <c r="D53" s="834"/>
      <c r="E53" s="915" t="s">
        <v>692</v>
      </c>
      <c r="F53" s="834"/>
      <c r="G53" s="915" t="s">
        <v>693</v>
      </c>
      <c r="H53" s="834"/>
      <c r="T53" s="531"/>
      <c r="U53" s="531"/>
    </row>
    <row r="54" spans="1:27" hidden="1" x14ac:dyDescent="0.2">
      <c r="A54" s="215" t="s">
        <v>678</v>
      </c>
      <c r="B54" s="532" t="s">
        <v>649</v>
      </c>
      <c r="C54" s="215" t="s">
        <v>678</v>
      </c>
      <c r="D54" s="532" t="s">
        <v>649</v>
      </c>
      <c r="E54" s="215" t="s">
        <v>678</v>
      </c>
      <c r="F54" s="532" t="s">
        <v>649</v>
      </c>
      <c r="G54" s="215" t="s">
        <v>678</v>
      </c>
      <c r="H54" s="532" t="s">
        <v>649</v>
      </c>
      <c r="U54" s="531"/>
    </row>
    <row r="55" spans="1:27" hidden="1" x14ac:dyDescent="0.2">
      <c r="A55" s="522">
        <v>0.6</v>
      </c>
      <c r="B55" s="524">
        <v>1.2800000000074165</v>
      </c>
      <c r="C55" s="522">
        <v>0.6</v>
      </c>
      <c r="D55" s="524">
        <v>1.4400000000076139</v>
      </c>
      <c r="E55" s="522">
        <v>0.6</v>
      </c>
      <c r="F55" s="524">
        <v>4.7400000000219507</v>
      </c>
      <c r="G55" s="522">
        <v>0.6</v>
      </c>
      <c r="H55" s="524">
        <v>4.4300000000232576</v>
      </c>
      <c r="U55" s="531"/>
    </row>
    <row r="56" spans="1:27" hidden="1" x14ac:dyDescent="0.2">
      <c r="A56" s="522">
        <v>0.8</v>
      </c>
      <c r="B56" s="524">
        <v>1.6847388235367402</v>
      </c>
      <c r="C56" s="522">
        <v>0.8</v>
      </c>
      <c r="D56" s="524">
        <v>1.8255031932852475</v>
      </c>
      <c r="E56" s="522">
        <v>0.8</v>
      </c>
      <c r="F56" s="524">
        <v>5.8161949580050436</v>
      </c>
      <c r="G56" s="522">
        <v>0.8</v>
      </c>
      <c r="H56" s="524">
        <v>5.3494252101072064</v>
      </c>
      <c r="U56" s="531"/>
    </row>
    <row r="57" spans="1:27" hidden="1" x14ac:dyDescent="0.2">
      <c r="A57" s="522">
        <v>1</v>
      </c>
      <c r="B57" s="524">
        <v>2.0900000000069343</v>
      </c>
      <c r="C57" s="522">
        <v>1</v>
      </c>
      <c r="D57" s="524">
        <v>2.2000000000075848</v>
      </c>
      <c r="E57" s="522">
        <v>1</v>
      </c>
      <c r="F57" s="524">
        <v>6.8500000000202181</v>
      </c>
      <c r="G57" s="522">
        <v>1</v>
      </c>
      <c r="H57" s="524">
        <v>6.3000000000214698</v>
      </c>
      <c r="U57" s="531"/>
    </row>
    <row r="58" spans="1:27" hidden="1" x14ac:dyDescent="0.2">
      <c r="A58" s="522">
        <v>1.2</v>
      </c>
      <c r="B58" s="524">
        <v>2.4913364705945336</v>
      </c>
      <c r="C58" s="522">
        <v>1.2</v>
      </c>
      <c r="D58" s="524">
        <v>2.5692752941242691</v>
      </c>
      <c r="E58" s="522">
        <v>1.2</v>
      </c>
      <c r="F58" s="524">
        <v>7.8620705882524806</v>
      </c>
      <c r="G58" s="522">
        <v>1.2</v>
      </c>
      <c r="H58" s="524">
        <v>7.2844470588417893</v>
      </c>
      <c r="U58" s="531"/>
    </row>
    <row r="59" spans="1:27" hidden="1" x14ac:dyDescent="0.2">
      <c r="A59" s="522">
        <v>1.4</v>
      </c>
      <c r="B59" s="524">
        <v>2.8854870588290122</v>
      </c>
      <c r="C59" s="522">
        <v>1.4</v>
      </c>
      <c r="D59" s="524">
        <v>2.938260840341234</v>
      </c>
      <c r="E59" s="522">
        <v>1.4</v>
      </c>
      <c r="F59" s="524">
        <v>8.8700302521137271</v>
      </c>
      <c r="G59" s="522">
        <v>1.4</v>
      </c>
      <c r="H59" s="524">
        <v>8.3050487395094432</v>
      </c>
      <c r="U59" s="531"/>
    </row>
    <row r="60" spans="1:27" hidden="1" x14ac:dyDescent="0.2">
      <c r="A60" s="522">
        <v>1.6</v>
      </c>
      <c r="B60" s="524">
        <v>3.2703764705927858</v>
      </c>
      <c r="C60" s="522">
        <v>1.6</v>
      </c>
      <c r="D60" s="524">
        <v>3.3110352941206993</v>
      </c>
      <c r="E60" s="522">
        <v>1.6</v>
      </c>
      <c r="F60" s="524">
        <v>9.8884705882427451</v>
      </c>
      <c r="G60" s="522">
        <v>1.6</v>
      </c>
      <c r="H60" s="524">
        <v>9.3636470588312477</v>
      </c>
      <c r="U60" s="531"/>
    </row>
    <row r="61" spans="1:27" hidden="1" x14ac:dyDescent="0.2">
      <c r="A61" s="522">
        <v>1.8</v>
      </c>
      <c r="B61" s="524">
        <v>3.6451152941212088</v>
      </c>
      <c r="C61" s="522">
        <v>1.8</v>
      </c>
      <c r="D61" s="524">
        <v>3.6908242016811759</v>
      </c>
      <c r="E61" s="522">
        <v>1.8</v>
      </c>
      <c r="F61" s="524">
        <v>10.928951260505212</v>
      </c>
      <c r="G61" s="522">
        <v>1.8</v>
      </c>
      <c r="H61" s="524">
        <v>10.461643697479554</v>
      </c>
      <c r="U61" s="531"/>
    </row>
    <row r="62" spans="1:27" hidden="1" x14ac:dyDescent="0.2">
      <c r="A62" s="522">
        <v>2</v>
      </c>
      <c r="B62" s="524">
        <v>4.0100000000025764</v>
      </c>
      <c r="C62" s="522">
        <v>2</v>
      </c>
      <c r="D62" s="524">
        <v>4.079999999997459</v>
      </c>
      <c r="E62" s="522">
        <v>2</v>
      </c>
      <c r="F62" s="524">
        <v>11.999999999993692</v>
      </c>
      <c r="G62" s="522">
        <v>2</v>
      </c>
      <c r="H62" s="524">
        <v>11.599999999992257</v>
      </c>
      <c r="U62" s="531"/>
    </row>
    <row r="63" spans="1:27" hidden="1" x14ac:dyDescent="0.2">
      <c r="A63" s="522">
        <v>2.2000000000000002</v>
      </c>
      <c r="B63" s="524">
        <v>4.3665129411781241</v>
      </c>
      <c r="C63" s="522">
        <v>2.2000000000000002</v>
      </c>
      <c r="D63" s="524">
        <v>4.4800820168006386</v>
      </c>
      <c r="E63" s="522">
        <v>2.2000000000000002</v>
      </c>
      <c r="F63" s="524">
        <v>13.107112605027652</v>
      </c>
      <c r="G63" s="522">
        <v>2.2000000000000002</v>
      </c>
      <c r="H63" s="524">
        <v>12.779236974772783</v>
      </c>
      <c r="U63" s="531"/>
    </row>
    <row r="64" spans="1:27" hidden="1" x14ac:dyDescent="0.2">
      <c r="A64" s="522">
        <v>2.4</v>
      </c>
      <c r="B64" s="524">
        <v>4.7173223529420261</v>
      </c>
      <c r="C64" s="522">
        <v>2.4</v>
      </c>
      <c r="D64" s="524">
        <v>4.8917364705780857</v>
      </c>
      <c r="E64" s="522">
        <v>2.4</v>
      </c>
      <c r="F64" s="524">
        <v>14.252752941153428</v>
      </c>
      <c r="G64" s="522">
        <v>2.4</v>
      </c>
      <c r="H64" s="524">
        <v>13.999435294090098</v>
      </c>
      <c r="U64" s="531"/>
    </row>
    <row r="65" spans="1:21" hidden="1" x14ac:dyDescent="0.2">
      <c r="A65" s="522">
        <v>2.6</v>
      </c>
      <c r="B65" s="524">
        <v>5.0662823529413981</v>
      </c>
      <c r="C65" s="522">
        <v>2.6</v>
      </c>
      <c r="D65" s="524">
        <v>5.3147764705734675</v>
      </c>
      <c r="E65" s="522">
        <v>2.6</v>
      </c>
      <c r="F65" s="524">
        <v>15.436352941144278</v>
      </c>
      <c r="G65" s="522">
        <v>2.6</v>
      </c>
      <c r="H65" s="524">
        <v>15.26023529407871</v>
      </c>
      <c r="U65" s="531"/>
    </row>
    <row r="66" spans="1:21" hidden="1" x14ac:dyDescent="0.2">
      <c r="A66" s="522">
        <v>2.8</v>
      </c>
      <c r="B66" s="524">
        <v>5.418432941176297</v>
      </c>
      <c r="C66" s="522">
        <v>2.8</v>
      </c>
      <c r="D66" s="524">
        <v>5.7481620167867327</v>
      </c>
      <c r="E66" s="522">
        <v>2.8</v>
      </c>
      <c r="F66" s="524">
        <v>16.654312605000317</v>
      </c>
      <c r="G66" s="522">
        <v>2.8</v>
      </c>
      <c r="H66" s="524">
        <v>16.560836974738656</v>
      </c>
      <c r="U66" s="531"/>
    </row>
    <row r="67" spans="1:21" hidden="1" x14ac:dyDescent="0.2">
      <c r="A67" s="522">
        <v>3</v>
      </c>
      <c r="B67" s="524">
        <v>5.7799999999997169</v>
      </c>
      <c r="C67" s="522">
        <v>3</v>
      </c>
      <c r="D67" s="524">
        <v>6.1899999999741233</v>
      </c>
      <c r="E67" s="522">
        <v>3</v>
      </c>
      <c r="F67" s="524">
        <v>17.899999999948577</v>
      </c>
      <c r="G67" s="522">
        <v>3</v>
      </c>
      <c r="H67" s="524">
        <v>17.899999999935517</v>
      </c>
      <c r="U67" s="531"/>
    </row>
    <row r="68" spans="1:21" hidden="1" x14ac:dyDescent="0.2">
      <c r="A68" s="522">
        <v>3.2</v>
      </c>
      <c r="B68" s="524">
        <v>6.158395294117593</v>
      </c>
      <c r="C68" s="522">
        <v>3.2</v>
      </c>
      <c r="D68" s="524">
        <v>6.6375442016481676</v>
      </c>
      <c r="E68" s="522">
        <v>3.2</v>
      </c>
      <c r="F68" s="524">
        <v>19.163751260442965</v>
      </c>
      <c r="G68" s="522">
        <v>3.2</v>
      </c>
      <c r="H68" s="524">
        <v>18.740000000000038</v>
      </c>
      <c r="U68" s="531"/>
    </row>
    <row r="69" spans="1:21" hidden="1" x14ac:dyDescent="0.2">
      <c r="A69" s="522">
        <v>3.4</v>
      </c>
      <c r="B69" s="524">
        <v>6.562216470588802</v>
      </c>
      <c r="C69" s="522">
        <v>3.4</v>
      </c>
      <c r="D69" s="524">
        <v>7.0871952940776834</v>
      </c>
      <c r="E69" s="522">
        <v>3.4</v>
      </c>
      <c r="F69" s="524">
        <v>20.432870588164288</v>
      </c>
      <c r="G69" s="522">
        <v>3.4</v>
      </c>
      <c r="H69" s="524">
        <v>19.580000000000037</v>
      </c>
      <c r="U69" s="531"/>
    </row>
    <row r="70" spans="1:21" hidden="1" x14ac:dyDescent="0.2">
      <c r="A70" s="522">
        <v>3.6</v>
      </c>
      <c r="B70" s="524">
        <v>7.0012470588251601</v>
      </c>
      <c r="C70" s="522">
        <v>3.6</v>
      </c>
      <c r="D70" s="524">
        <v>7.5345008402877776</v>
      </c>
      <c r="E70" s="522">
        <v>3.6</v>
      </c>
      <c r="F70" s="524">
        <v>21.691630252020236</v>
      </c>
      <c r="G70" s="522">
        <v>3.6</v>
      </c>
      <c r="H70" s="524">
        <v>20.420000000000037</v>
      </c>
      <c r="U70" s="531"/>
    </row>
    <row r="71" spans="1:21" hidden="1" x14ac:dyDescent="0.2">
      <c r="A71" s="522">
        <v>3.8</v>
      </c>
      <c r="B71" s="524">
        <v>7.4864564705914223</v>
      </c>
      <c r="C71" s="522">
        <v>3.8</v>
      </c>
      <c r="D71" s="524">
        <v>7.9741552940598392</v>
      </c>
      <c r="E71" s="522">
        <v>3.8</v>
      </c>
      <c r="F71" s="524">
        <v>22.92127058814539</v>
      </c>
      <c r="G71" s="522">
        <v>3.8</v>
      </c>
      <c r="H71" s="524">
        <v>21.260000000000034</v>
      </c>
      <c r="U71" s="531"/>
    </row>
    <row r="72" spans="1:21" ht="13.5" hidden="1" thickBot="1" x14ac:dyDescent="0.25">
      <c r="A72" s="528">
        <v>4</v>
      </c>
      <c r="B72" s="529">
        <v>8.0300000000052858</v>
      </c>
      <c r="C72" s="528">
        <v>4</v>
      </c>
      <c r="D72" s="529">
        <v>8.3999999999315591</v>
      </c>
      <c r="E72" s="528">
        <v>4</v>
      </c>
      <c r="F72" s="529">
        <v>24.099999999901243</v>
      </c>
      <c r="G72" s="528">
        <v>4</v>
      </c>
      <c r="H72" s="529">
        <v>22.10000000000003</v>
      </c>
      <c r="U72" s="531"/>
    </row>
    <row r="73" spans="1:21" ht="13.5" thickTop="1" x14ac:dyDescent="0.2"/>
  </sheetData>
  <sheetProtection sheet="1" objects="1" scenarios="1" selectLockedCells="1"/>
  <mergeCells count="30">
    <mergeCell ref="B16:C16"/>
    <mergeCell ref="A1:I1"/>
    <mergeCell ref="A2:I2"/>
    <mergeCell ref="A14:A15"/>
    <mergeCell ref="B14:C14"/>
    <mergeCell ref="B15:C15"/>
    <mergeCell ref="B29:C29"/>
    <mergeCell ref="B17:C17"/>
    <mergeCell ref="B18:C18"/>
    <mergeCell ref="B19:C19"/>
    <mergeCell ref="B20:C20"/>
    <mergeCell ref="B21:C21"/>
    <mergeCell ref="B23:C23"/>
    <mergeCell ref="B24:C24"/>
    <mergeCell ref="B25:C25"/>
    <mergeCell ref="B26:C26"/>
    <mergeCell ref="B27:C27"/>
    <mergeCell ref="B28:C28"/>
    <mergeCell ref="B22:C22"/>
    <mergeCell ref="B30:C30"/>
    <mergeCell ref="A31:B31"/>
    <mergeCell ref="C31:D31"/>
    <mergeCell ref="E31:F31"/>
    <mergeCell ref="G31:H31"/>
    <mergeCell ref="K31:L31"/>
    <mergeCell ref="A53:B53"/>
    <mergeCell ref="C53:D53"/>
    <mergeCell ref="E53:F53"/>
    <mergeCell ref="G53:H53"/>
    <mergeCell ref="I31:J31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F5C1-CD61-440C-A3C0-8E7303D65BBB}">
  <dimension ref="A1:P145"/>
  <sheetViews>
    <sheetView showGridLines="0" zoomScaleNormal="100" workbookViewId="0">
      <selection activeCell="K30" sqref="K30"/>
    </sheetView>
  </sheetViews>
  <sheetFormatPr defaultColWidth="8.85546875" defaultRowHeight="12.75" x14ac:dyDescent="0.2"/>
  <cols>
    <col min="1" max="1" width="25" bestFit="1" customWidth="1"/>
    <col min="2" max="2" width="14.28515625" customWidth="1"/>
    <col min="3" max="16" width="15.7109375" customWidth="1"/>
  </cols>
  <sheetData>
    <row r="1" spans="1:9" ht="21" thickTop="1" x14ac:dyDescent="0.3">
      <c r="A1" s="746" t="s">
        <v>723</v>
      </c>
      <c r="B1" s="747"/>
      <c r="C1" s="747"/>
      <c r="D1" s="747"/>
      <c r="E1" s="747"/>
      <c r="F1" s="747"/>
      <c r="G1" s="747"/>
      <c r="H1" s="748"/>
      <c r="I1" s="5"/>
    </row>
    <row r="2" spans="1:9" ht="21" thickBot="1" x14ac:dyDescent="0.35">
      <c r="A2" s="739" t="s">
        <v>680</v>
      </c>
      <c r="B2" s="740"/>
      <c r="C2" s="740"/>
      <c r="D2" s="740"/>
      <c r="E2" s="740"/>
      <c r="F2" s="740"/>
      <c r="G2" s="740"/>
      <c r="H2" s="741"/>
      <c r="I2" s="5"/>
    </row>
    <row r="3" spans="1:9" ht="13.5" thickTop="1" x14ac:dyDescent="0.2">
      <c r="A3" s="30"/>
      <c r="B3" s="23"/>
      <c r="H3" s="21"/>
    </row>
    <row r="4" spans="1:9" x14ac:dyDescent="0.2">
      <c r="A4" s="22"/>
      <c r="B4" s="17" t="s">
        <v>23</v>
      </c>
      <c r="H4" s="21"/>
    </row>
    <row r="5" spans="1:9" x14ac:dyDescent="0.2">
      <c r="A5" s="512" t="s">
        <v>681</v>
      </c>
      <c r="B5" s="31">
        <v>15</v>
      </c>
      <c r="C5" s="24" t="s">
        <v>722</v>
      </c>
      <c r="H5" s="21"/>
    </row>
    <row r="6" spans="1:9" x14ac:dyDescent="0.2">
      <c r="A6" s="512" t="s">
        <v>683</v>
      </c>
      <c r="B6" s="31">
        <v>4</v>
      </c>
      <c r="E6" s="23"/>
      <c r="H6" s="21"/>
    </row>
    <row r="7" spans="1:9" x14ac:dyDescent="0.2">
      <c r="A7" s="22"/>
      <c r="E7" s="23"/>
      <c r="H7" s="21"/>
    </row>
    <row r="8" spans="1:9" x14ac:dyDescent="0.2">
      <c r="A8" s="22"/>
      <c r="E8" s="23"/>
      <c r="H8" s="21"/>
    </row>
    <row r="9" spans="1:9" x14ac:dyDescent="0.2">
      <c r="A9" s="22"/>
      <c r="E9" s="23"/>
      <c r="H9" s="21"/>
    </row>
    <row r="10" spans="1:9" x14ac:dyDescent="0.2">
      <c r="A10" s="22"/>
      <c r="H10" s="21"/>
    </row>
    <row r="11" spans="1:9" x14ac:dyDescent="0.2">
      <c r="A11" s="22"/>
      <c r="H11" s="21"/>
    </row>
    <row r="12" spans="1:9" x14ac:dyDescent="0.2">
      <c r="A12" s="22"/>
      <c r="H12" s="21"/>
    </row>
    <row r="13" spans="1:9" ht="13.5" thickBot="1" x14ac:dyDescent="0.25">
      <c r="A13" s="22"/>
      <c r="H13" s="21"/>
    </row>
    <row r="14" spans="1:9" ht="13.5" thickTop="1" x14ac:dyDescent="0.2">
      <c r="A14" s="744" t="s">
        <v>22</v>
      </c>
      <c r="B14" s="11" t="s">
        <v>49</v>
      </c>
      <c r="C14" s="514" t="s">
        <v>684</v>
      </c>
      <c r="H14" s="21"/>
    </row>
    <row r="15" spans="1:9" ht="14.25" x14ac:dyDescent="0.2">
      <c r="A15" s="871"/>
      <c r="B15" s="507" t="s">
        <v>721</v>
      </c>
      <c r="C15" s="515" t="s">
        <v>721</v>
      </c>
      <c r="H15" s="21"/>
    </row>
    <row r="16" spans="1:9" x14ac:dyDescent="0.2">
      <c r="A16" s="552" t="s">
        <v>603</v>
      </c>
      <c r="B16" s="507" t="s">
        <v>629</v>
      </c>
      <c r="C16" s="553">
        <f>IF($B$6&lt;0.6,"NOT POSSIBLE",IF($B$6&gt;4,"NOT POSSIBLE",((VLOOKUP($B$6,A46:B63,2)))*(($B$5/100)^0.5)*1))</f>
        <v>8.2881843608838714</v>
      </c>
      <c r="H16" s="21"/>
    </row>
    <row r="17" spans="1:13" x14ac:dyDescent="0.2">
      <c r="A17" s="550" t="s">
        <v>602</v>
      </c>
      <c r="B17" s="549" t="s">
        <v>630</v>
      </c>
      <c r="C17" s="553">
        <f>IF($B$6&lt;0.6,"NOT POSSIBLE",IF($B$6&gt;4,"NOT POSSIBLE",((VLOOKUP($B$6,C46:D63,2)))*(($B$5/100)^0.5)*1))</f>
        <v>15.337014050996348</v>
      </c>
      <c r="H17" s="21"/>
      <c r="M17" s="519"/>
    </row>
    <row r="18" spans="1:13" x14ac:dyDescent="0.2">
      <c r="A18" s="552" t="s">
        <v>601</v>
      </c>
      <c r="B18" s="551" t="s">
        <v>631</v>
      </c>
      <c r="C18" s="553">
        <f>IF($B$6&lt;0.6,"NOT POSSIBLE",IF($B$6&gt;4,"NOT POSSIBLE",((VLOOKUP($B$6,E46:F63,2)))*(($B$5/100)^0.5)*1))</f>
        <v>15.143364883571406</v>
      </c>
      <c r="H18" s="21"/>
      <c r="M18" s="519"/>
    </row>
    <row r="19" spans="1:13" x14ac:dyDescent="0.2">
      <c r="A19" s="550" t="s">
        <v>604</v>
      </c>
      <c r="B19" s="554" t="s">
        <v>632</v>
      </c>
      <c r="C19" s="553">
        <f>IF($B$6&lt;0.6,"NOT POSSIBLE",IF($B$6&gt;4,"NOT POSSIBLE",((VLOOKUP($B$6,G46:H63,2)))*(($B$5/100)^0.5)*1))</f>
        <v>17.196046057160931</v>
      </c>
      <c r="H19" s="21"/>
      <c r="M19" s="519"/>
    </row>
    <row r="20" spans="1:13" x14ac:dyDescent="0.2">
      <c r="A20" s="552" t="s">
        <v>605</v>
      </c>
      <c r="B20" s="551" t="s">
        <v>633</v>
      </c>
      <c r="C20" s="553">
        <f>IF($B$6&lt;0.6,"NOT POSSIBLE",IF($B$6&gt;4,"NOT POSSIBLE",((VLOOKUP($B$6,I46:J63,2)))*(($B$5/100)^0.5)*1))</f>
        <v>15.220824550595148</v>
      </c>
      <c r="H20" s="21"/>
    </row>
    <row r="21" spans="1:13" x14ac:dyDescent="0.2">
      <c r="A21" s="550" t="s">
        <v>608</v>
      </c>
      <c r="B21" s="549" t="s">
        <v>634</v>
      </c>
      <c r="C21" s="553">
        <f>IF($B$6&lt;0.6,"NOT POSSIBLE",IF($B$6&gt;4,"NOT POSSIBLE",((VLOOKUP($B$6,K46:L63,2)))*(($B$5/100)^0.5)*1))</f>
        <v>20.914110069466062</v>
      </c>
      <c r="H21" s="21"/>
    </row>
    <row r="22" spans="1:13" x14ac:dyDescent="0.2">
      <c r="A22" s="552" t="s">
        <v>609</v>
      </c>
      <c r="B22" s="551" t="s">
        <v>635</v>
      </c>
      <c r="C22" s="553">
        <f>IF($B$6&lt;0.6,"NOT POSSIBLE",IF($B$6&gt;4,"NOT POSSIBLE",((VLOOKUP($B$6,M46:N63,2)))*(($B$5/100)^0.5)*1))</f>
        <v>21.030299569808534</v>
      </c>
      <c r="H22" s="21"/>
    </row>
    <row r="23" spans="1:13" x14ac:dyDescent="0.2">
      <c r="A23" s="550" t="s">
        <v>606</v>
      </c>
      <c r="B23" s="554" t="s">
        <v>634</v>
      </c>
      <c r="C23" s="553">
        <f>IF($B$6&lt;0.6,"NOT POSSIBLE",IF($B$6&gt;4,"NOT POSSIBLE",((VLOOKUP($B$6,A67:B84,2)))*(($B$5/100)^0.5)*1))</f>
        <v>20.952839902982127</v>
      </c>
      <c r="H23" s="21"/>
    </row>
    <row r="24" spans="1:13" x14ac:dyDescent="0.2">
      <c r="A24" s="552" t="s">
        <v>607</v>
      </c>
      <c r="B24" s="551" t="s">
        <v>635</v>
      </c>
      <c r="C24" s="553">
        <f>IF($B$6&lt;0.6,"NOT POSSIBLE",IF($B$6&gt;4,"NOT POSSIBLE",((VLOOKUP($B$6,C67:D84,2)))*(($B$5/100)^0.5)*1))</f>
        <v>20.25570290066479</v>
      </c>
      <c r="H24" s="21"/>
    </row>
    <row r="25" spans="1:13" x14ac:dyDescent="0.2">
      <c r="A25" s="550" t="s">
        <v>610</v>
      </c>
      <c r="B25" s="549" t="s">
        <v>636</v>
      </c>
      <c r="C25" s="553">
        <f>IF($B$6&lt;0.6,"NOT POSSIBLE",IF($B$6&gt;4,"NOT POSSIBLE",((VLOOKUP($B$6,E67:F84,2)))*(($B$5/100)^0.5)*1))</f>
        <v>29.124834763395008</v>
      </c>
      <c r="H25" s="21"/>
    </row>
    <row r="26" spans="1:13" x14ac:dyDescent="0.2">
      <c r="A26" s="552" t="s">
        <v>611</v>
      </c>
      <c r="B26" s="551" t="s">
        <v>637</v>
      </c>
      <c r="C26" s="553">
        <f>IF($B$6&lt;0.6,"NOT POSSIBLE",IF($B$6&gt;4,"NOT POSSIBLE",((VLOOKUP($B$6,G67:H84,2)))*(($B$5/100)^0.5)*1))</f>
        <v>29.202294430430296</v>
      </c>
      <c r="H26" s="21"/>
    </row>
    <row r="27" spans="1:13" x14ac:dyDescent="0.2">
      <c r="A27" s="550" t="s">
        <v>612</v>
      </c>
      <c r="B27" s="554" t="s">
        <v>636</v>
      </c>
      <c r="C27" s="517">
        <f>IF($B$6&lt;0.6,"NOT POSSIBLE",IF($B$6&gt;4,"NOT POSSIBLE",((VLOOKUP($B$6,I67:J84,2)))*(($B$5/100)^0.5)*1))</f>
        <v>30.751487768886893</v>
      </c>
      <c r="H27" s="21"/>
    </row>
    <row r="28" spans="1:13" ht="13.5" customHeight="1" x14ac:dyDescent="0.2">
      <c r="A28" s="552" t="s">
        <v>613</v>
      </c>
      <c r="B28" s="551" t="s">
        <v>637</v>
      </c>
      <c r="C28" s="517">
        <f>IF($B$6&lt;0.6,"NOT POSSIBLE",IF($B$6&gt;4,"NOT POSSIBLE",((VLOOKUP($B$6,K67:L84,2)))*(($B$5/100)^0.5)*1))</f>
        <v>29.434673431176371</v>
      </c>
      <c r="H28" s="21"/>
    </row>
    <row r="29" spans="1:13" ht="13.5" customHeight="1" x14ac:dyDescent="0.2">
      <c r="A29" s="550" t="s">
        <v>614</v>
      </c>
      <c r="B29" s="549" t="s">
        <v>638</v>
      </c>
      <c r="C29" s="517">
        <f>IF($B$6&lt;0.6,"NOT POSSIBLE",IF($B$6&gt;4,"NOT POSSIBLE",((VLOOKUP($B$6,M67:N84,2)))*(($B$5/100)^0.5)*1))</f>
        <v>65.066120216145464</v>
      </c>
      <c r="H29" s="21"/>
    </row>
    <row r="30" spans="1:13" ht="13.5" customHeight="1" x14ac:dyDescent="0.2">
      <c r="A30" s="552" t="s">
        <v>615</v>
      </c>
      <c r="B30" s="551" t="s">
        <v>639</v>
      </c>
      <c r="C30" s="517">
        <f>IF($B$6&lt;0.6,"NOT POSSIBLE",IF($B$6&gt;4,"NOT POSSIBLE",((VLOOKUP($B$6,O67:P84,2)))*(($B$5/100)^0.5)*1))</f>
        <v>68.939103562492306</v>
      </c>
      <c r="H30" s="21"/>
    </row>
    <row r="31" spans="1:13" ht="13.5" customHeight="1" x14ac:dyDescent="0.2">
      <c r="A31" s="550" t="s">
        <v>616</v>
      </c>
      <c r="B31" s="554" t="s">
        <v>638</v>
      </c>
      <c r="C31" s="517">
        <f>IF($B$6&lt;0.6,"NOT POSSIBLE",IF($B$6&gt;4,"NOT POSSIBLE",((VLOOKUP($B$6,A88:B105,2)))*(($B$5/100)^0.5)*1))</f>
        <v>58.482048527731997</v>
      </c>
      <c r="H31" s="21"/>
    </row>
    <row r="32" spans="1:13" ht="13.5" customHeight="1" x14ac:dyDescent="0.2">
      <c r="A32" s="552" t="s">
        <v>617</v>
      </c>
      <c r="B32" s="551" t="s">
        <v>639</v>
      </c>
      <c r="C32" s="517">
        <f>IF($B$6&lt;0.6,"NOT POSSIBLE",IF($B$6&gt;4,"NOT POSSIBLE",((VLOOKUP($B$6,C88:D105,2)))*(($B$5/100)^0.5)*1))</f>
        <v>69.32640189711276</v>
      </c>
      <c r="H32" s="21"/>
    </row>
    <row r="33" spans="1:14" ht="13.5" customHeight="1" x14ac:dyDescent="0.2">
      <c r="A33" s="550" t="s">
        <v>618</v>
      </c>
      <c r="B33" s="549" t="s">
        <v>640</v>
      </c>
      <c r="C33" s="517">
        <f>IF($B$6&lt;0.6,"NOT POSSIBLE",IF($B$6&gt;4,"NOT POSSIBLE",((VLOOKUP($B$6,E88:F105,2)))*(($B$5/100)^0.5)*1))</f>
        <v>85.592931951145118</v>
      </c>
      <c r="H33" s="21"/>
    </row>
    <row r="34" spans="1:14" ht="13.5" customHeight="1" x14ac:dyDescent="0.2">
      <c r="A34" s="552" t="s">
        <v>619</v>
      </c>
      <c r="B34" s="551" t="s">
        <v>641</v>
      </c>
      <c r="C34" s="517">
        <f>IF($B$6&lt;0.6,"NOT POSSIBLE",IF($B$6&gt;4,"NOT POSSIBLE",((VLOOKUP($B$6,G88:H105,2)))*(($B$5/100)^0.5)*1))</f>
        <v>86.367528620020423</v>
      </c>
      <c r="H34" s="21"/>
    </row>
    <row r="35" spans="1:14" ht="13.5" customHeight="1" x14ac:dyDescent="0.2">
      <c r="A35" s="550" t="s">
        <v>620</v>
      </c>
      <c r="B35" s="549" t="s">
        <v>642</v>
      </c>
      <c r="C35" s="517">
        <f>IF($B$6&lt;0.6,"NOT POSSIBLE",IF($B$6&gt;4,"NOT POSSIBLE",((VLOOKUP($B$6,A109:B126,2)))*(($B$5/100)^0.5)*1))</f>
        <v>104.95784868162539</v>
      </c>
      <c r="H35" s="21"/>
    </row>
    <row r="36" spans="1:14" ht="13.5" customHeight="1" x14ac:dyDescent="0.2">
      <c r="A36" s="552" t="s">
        <v>621</v>
      </c>
      <c r="B36" s="551" t="s">
        <v>643</v>
      </c>
      <c r="C36" s="517">
        <f>IF($B$6&lt;0.6,"NOT POSSIBLE",IF($B$6&gt;4,"NOT POSSIBLE",((VLOOKUP($B$6,C109:D126,2)))*(($B$5/100)^0.5)*1))</f>
        <v>107.2816386892582</v>
      </c>
      <c r="H36" s="21"/>
    </row>
    <row r="37" spans="1:14" ht="13.5" customHeight="1" x14ac:dyDescent="0.2">
      <c r="A37" s="550" t="s">
        <v>622</v>
      </c>
      <c r="B37" s="549" t="s">
        <v>644</v>
      </c>
      <c r="C37" s="517">
        <f>IF($B$6&lt;1,"NOT POSSIBLE",IF($B$6&gt;4,"NOT POSSIBLE",((VLOOKUP($B$6,A130:B145,2)))*(($B$5/100)^0.5)*1))</f>
        <v>156.46852718677161</v>
      </c>
      <c r="H37" s="21"/>
    </row>
    <row r="38" spans="1:14" ht="13.5" customHeight="1" x14ac:dyDescent="0.2">
      <c r="A38" s="552" t="s">
        <v>623</v>
      </c>
      <c r="B38" s="551" t="s">
        <v>645</v>
      </c>
      <c r="C38" s="517">
        <f>IF($B$6&lt;1,"NOT POSSIBLE",IF($B$6&gt;4,"NOT POSSIBLE",((VLOOKUP($B$6,C130:D145,2)))*(($B$5/100)^0.5)*1))</f>
        <v>158.40501885987439</v>
      </c>
      <c r="H38" s="21"/>
    </row>
    <row r="39" spans="1:14" ht="13.5" customHeight="1" x14ac:dyDescent="0.2">
      <c r="A39" s="550" t="s">
        <v>624</v>
      </c>
      <c r="B39" s="549" t="s">
        <v>646</v>
      </c>
      <c r="C39" s="517">
        <f>IF($B$6&lt;1,"NOT POSSIBLE",IF($B$6&gt;4,"NOT POSSIBLE",((VLOOKUP($B$6,E130:F145,2)))*(($B$5/100)^0.5)*1))</f>
        <v>270.72153589986146</v>
      </c>
      <c r="H39" s="21"/>
    </row>
    <row r="40" spans="1:14" ht="13.5" customHeight="1" x14ac:dyDescent="0.2">
      <c r="A40" s="552" t="s">
        <v>625</v>
      </c>
      <c r="B40" s="551" t="s">
        <v>647</v>
      </c>
      <c r="C40" s="517">
        <f>IF($B$6&lt;1,"NOT POSSIBLE",IF($B$6&gt;4,"NOT POSSIBLE",((VLOOKUP($B$6,G130:H145,2)))*(($B$5/100)^0.5)*1))</f>
        <v>289.69915429631561</v>
      </c>
      <c r="H40" s="21"/>
    </row>
    <row r="41" spans="1:14" ht="13.5" customHeight="1" x14ac:dyDescent="0.2">
      <c r="A41" s="550" t="s">
        <v>626</v>
      </c>
      <c r="B41" s="549" t="s">
        <v>646</v>
      </c>
      <c r="C41" s="517">
        <f>IF($B$6&lt;1,"NOT POSSIBLE",IF($B$6&gt;4,"NOT POSSIBLE",((VLOOKUP($B$6,I130:J145,2)))*(($B$5/100)^0.5)*1))</f>
        <v>269.9469392306371</v>
      </c>
      <c r="H41" s="21"/>
    </row>
    <row r="42" spans="1:14" ht="13.5" customHeight="1" thickBot="1" x14ac:dyDescent="0.25">
      <c r="A42" s="344" t="s">
        <v>627</v>
      </c>
      <c r="B42" s="548" t="s">
        <v>647</v>
      </c>
      <c r="C42" s="547">
        <f>IF($B$6&lt;1,"NOT POSSIBLE",IF($B$6&gt;4,"NOT POSSIBLE",((VLOOKUP($B$6,K130:L145,2)))*(($B$5/100)^0.5)*1))</f>
        <v>288.9245576270169</v>
      </c>
      <c r="D42" s="28"/>
      <c r="E42" s="28"/>
      <c r="F42" s="28"/>
      <c r="G42" s="28"/>
      <c r="H42" s="29"/>
    </row>
    <row r="43" spans="1:14" ht="13.5" customHeight="1" thickTop="1" x14ac:dyDescent="0.2">
      <c r="A43" s="546"/>
      <c r="B43" s="545"/>
      <c r="C43" s="545"/>
    </row>
    <row r="44" spans="1:14" ht="13.5" hidden="1" thickTop="1" x14ac:dyDescent="0.2">
      <c r="A44" s="753" t="s">
        <v>720</v>
      </c>
      <c r="B44" s="754"/>
      <c r="C44" s="925" t="s">
        <v>719</v>
      </c>
      <c r="D44" s="925"/>
      <c r="E44" s="925" t="s">
        <v>718</v>
      </c>
      <c r="F44" s="754"/>
      <c r="G44" s="925" t="s">
        <v>717</v>
      </c>
      <c r="H44" s="754"/>
      <c r="I44" s="925" t="s">
        <v>716</v>
      </c>
      <c r="J44" s="754"/>
      <c r="K44" s="925" t="s">
        <v>715</v>
      </c>
      <c r="L44" s="754"/>
      <c r="M44" s="928" t="s">
        <v>714</v>
      </c>
      <c r="N44" s="929"/>
    </row>
    <row r="45" spans="1:14" hidden="1" x14ac:dyDescent="0.2">
      <c r="A45" s="509" t="s">
        <v>678</v>
      </c>
      <c r="B45" s="511" t="s">
        <v>649</v>
      </c>
      <c r="C45" s="511" t="s">
        <v>678</v>
      </c>
      <c r="D45" s="511" t="s">
        <v>649</v>
      </c>
      <c r="E45" s="511" t="s">
        <v>678</v>
      </c>
      <c r="F45" s="511" t="s">
        <v>649</v>
      </c>
      <c r="G45" s="511" t="s">
        <v>678</v>
      </c>
      <c r="H45" s="511" t="s">
        <v>649</v>
      </c>
      <c r="I45" s="511" t="s">
        <v>678</v>
      </c>
      <c r="J45" s="511" t="s">
        <v>649</v>
      </c>
      <c r="K45" s="511" t="s">
        <v>678</v>
      </c>
      <c r="L45" s="511" t="s">
        <v>649</v>
      </c>
      <c r="M45" s="511" t="s">
        <v>678</v>
      </c>
      <c r="N45" s="508" t="s">
        <v>649</v>
      </c>
    </row>
    <row r="46" spans="1:14" hidden="1" x14ac:dyDescent="0.2">
      <c r="A46" s="509">
        <v>0.6</v>
      </c>
      <c r="B46" s="544">
        <v>4.66</v>
      </c>
      <c r="C46" s="511">
        <v>0.6</v>
      </c>
      <c r="D46" s="544">
        <v>9.1900000000355284</v>
      </c>
      <c r="E46" s="511">
        <v>0.6</v>
      </c>
      <c r="F46" s="544">
        <v>9.6800000000346067</v>
      </c>
      <c r="G46" s="511">
        <v>0.6</v>
      </c>
      <c r="H46" s="544">
        <v>9.89</v>
      </c>
      <c r="I46" s="511">
        <v>0.6</v>
      </c>
      <c r="J46" s="544">
        <v>9.44</v>
      </c>
      <c r="K46" s="511">
        <v>0.6</v>
      </c>
      <c r="L46" s="544">
        <v>11.60000000004764</v>
      </c>
      <c r="M46" s="511">
        <v>0.6</v>
      </c>
      <c r="N46" s="607">
        <v>10.900000000049198</v>
      </c>
    </row>
    <row r="47" spans="1:14" hidden="1" x14ac:dyDescent="0.2">
      <c r="A47" s="509">
        <v>0.8</v>
      </c>
      <c r="B47" s="544">
        <v>5.87</v>
      </c>
      <c r="C47" s="511">
        <v>0.8</v>
      </c>
      <c r="D47" s="544">
        <v>11.690366386591114</v>
      </c>
      <c r="E47" s="511">
        <v>0.8</v>
      </c>
      <c r="F47" s="544">
        <v>11.94590252104463</v>
      </c>
      <c r="G47" s="511">
        <v>0.8</v>
      </c>
      <c r="H47" s="540">
        <v>12.3</v>
      </c>
      <c r="I47" s="511">
        <v>0.8</v>
      </c>
      <c r="J47" s="540">
        <v>11.9</v>
      </c>
      <c r="K47" s="511">
        <v>0.8</v>
      </c>
      <c r="L47" s="544">
        <v>14.778003361396149</v>
      </c>
      <c r="M47" s="511">
        <v>0.8</v>
      </c>
      <c r="N47" s="607">
        <v>13.595569747946531</v>
      </c>
    </row>
    <row r="48" spans="1:14" hidden="1" x14ac:dyDescent="0.2">
      <c r="A48" s="509">
        <v>1</v>
      </c>
      <c r="B48" s="544">
        <v>7.11</v>
      </c>
      <c r="C48" s="511">
        <v>1</v>
      </c>
      <c r="D48" s="544">
        <v>13.90000000003651</v>
      </c>
      <c r="E48" s="511">
        <v>1</v>
      </c>
      <c r="F48" s="544">
        <v>14.100000000035536</v>
      </c>
      <c r="G48" s="511">
        <v>1</v>
      </c>
      <c r="H48" s="540">
        <v>14.4</v>
      </c>
      <c r="I48" s="511">
        <v>1</v>
      </c>
      <c r="J48" s="540">
        <v>14</v>
      </c>
      <c r="K48" s="511">
        <v>1</v>
      </c>
      <c r="L48" s="544">
        <v>17.500000000051728</v>
      </c>
      <c r="M48" s="511">
        <v>1</v>
      </c>
      <c r="N48" s="607">
        <v>16.000000000042263</v>
      </c>
    </row>
    <row r="49" spans="1:14" hidden="1" x14ac:dyDescent="0.2">
      <c r="A49" s="509">
        <v>1.2</v>
      </c>
      <c r="B49" s="544">
        <v>8.34</v>
      </c>
      <c r="C49" s="511">
        <v>1.2</v>
      </c>
      <c r="D49" s="544">
        <v>15.891270588271157</v>
      </c>
      <c r="E49" s="511">
        <v>1.2</v>
      </c>
      <c r="F49" s="544">
        <v>16.166964705915092</v>
      </c>
      <c r="G49" s="511">
        <v>1.2</v>
      </c>
      <c r="H49" s="540">
        <v>16.3</v>
      </c>
      <c r="I49" s="511">
        <v>1.2</v>
      </c>
      <c r="J49" s="540">
        <v>15.9</v>
      </c>
      <c r="K49" s="511">
        <v>1.2</v>
      </c>
      <c r="L49" s="544">
        <v>19.909552941225108</v>
      </c>
      <c r="M49" s="511">
        <v>1.2</v>
      </c>
      <c r="N49" s="607">
        <v>18.237223529445881</v>
      </c>
    </row>
    <row r="50" spans="1:14" hidden="1" x14ac:dyDescent="0.2">
      <c r="A50" s="509">
        <v>1.4</v>
      </c>
      <c r="B50" s="544">
        <v>9.5399999999999991</v>
      </c>
      <c r="C50" s="511">
        <v>1.4</v>
      </c>
      <c r="D50" s="544">
        <v>17.727401680707079</v>
      </c>
      <c r="E50" s="511">
        <v>1.4</v>
      </c>
      <c r="F50" s="544">
        <v>18.166984873977562</v>
      </c>
      <c r="G50" s="511">
        <v>1.4</v>
      </c>
      <c r="H50" s="540">
        <v>18</v>
      </c>
      <c r="I50" s="511">
        <v>1.4</v>
      </c>
      <c r="J50" s="540">
        <v>17.7</v>
      </c>
      <c r="K50" s="511">
        <v>1.4</v>
      </c>
      <c r="L50" s="544">
        <v>22.130379831975699</v>
      </c>
      <c r="M50" s="511">
        <v>1.4</v>
      </c>
      <c r="N50" s="607">
        <v>20.411381512628218</v>
      </c>
    </row>
    <row r="51" spans="1:14" hidden="1" x14ac:dyDescent="0.2">
      <c r="A51" s="509">
        <v>1.6</v>
      </c>
      <c r="B51" s="544">
        <v>10.7</v>
      </c>
      <c r="C51" s="511">
        <v>1.6</v>
      </c>
      <c r="D51" s="544">
        <v>19.462470588268854</v>
      </c>
      <c r="E51" s="511">
        <v>1.6</v>
      </c>
      <c r="F51" s="544">
        <v>20.115764705903707</v>
      </c>
      <c r="G51" s="511">
        <v>1.6</v>
      </c>
      <c r="H51" s="540">
        <v>19.7</v>
      </c>
      <c r="I51" s="511">
        <v>1.6</v>
      </c>
      <c r="J51" s="540">
        <v>19.5</v>
      </c>
      <c r="K51" s="511">
        <v>1.6</v>
      </c>
      <c r="L51" s="544">
        <v>24.266352941211565</v>
      </c>
      <c r="M51" s="511">
        <v>1.6</v>
      </c>
      <c r="N51" s="607">
        <v>22.606823529421458</v>
      </c>
    </row>
    <row r="52" spans="1:14" hidden="1" x14ac:dyDescent="0.2">
      <c r="A52" s="509">
        <v>1.8</v>
      </c>
      <c r="B52" s="544">
        <v>11.7</v>
      </c>
      <c r="C52" s="511">
        <v>1.8</v>
      </c>
      <c r="D52" s="544">
        <v>21.141408403393669</v>
      </c>
      <c r="E52" s="511">
        <v>1.8</v>
      </c>
      <c r="F52" s="544">
        <v>22.024524369760769</v>
      </c>
      <c r="G52" s="511">
        <v>1.8</v>
      </c>
      <c r="H52" s="540">
        <v>21.5</v>
      </c>
      <c r="I52" s="511">
        <v>1.8</v>
      </c>
      <c r="J52" s="540">
        <v>21.2</v>
      </c>
      <c r="K52" s="511">
        <v>1.8</v>
      </c>
      <c r="L52" s="544">
        <v>26.401499159689433</v>
      </c>
      <c r="M52" s="511">
        <v>1.8</v>
      </c>
      <c r="N52" s="607">
        <v>24.888107563019126</v>
      </c>
    </row>
    <row r="53" spans="1:14" hidden="1" x14ac:dyDescent="0.2">
      <c r="A53" s="509">
        <v>2</v>
      </c>
      <c r="B53" s="544">
        <v>12.7</v>
      </c>
      <c r="C53" s="511">
        <v>2</v>
      </c>
      <c r="D53" s="544">
        <v>22.800000000031229</v>
      </c>
      <c r="E53" s="511">
        <v>2</v>
      </c>
      <c r="F53" s="544">
        <v>23.9000000000025</v>
      </c>
      <c r="G53" s="511">
        <v>2</v>
      </c>
      <c r="H53" s="540">
        <v>23.4</v>
      </c>
      <c r="I53" s="511">
        <v>2</v>
      </c>
      <c r="J53" s="540">
        <v>22.9</v>
      </c>
      <c r="K53" s="511">
        <v>2</v>
      </c>
      <c r="L53" s="544">
        <v>28.600000000014703</v>
      </c>
      <c r="M53" s="511">
        <v>2</v>
      </c>
      <c r="N53" s="607">
        <v>27.299999999976109</v>
      </c>
    </row>
    <row r="54" spans="1:14" hidden="1" x14ac:dyDescent="0.2">
      <c r="A54" s="509">
        <v>2.2000000000000002</v>
      </c>
      <c r="B54" s="544">
        <v>13.6</v>
      </c>
      <c r="C54" s="511">
        <v>2.2000000000000002</v>
      </c>
      <c r="D54" s="544">
        <v>24.464884033643855</v>
      </c>
      <c r="E54" s="511">
        <v>2.2000000000000002</v>
      </c>
      <c r="F54" s="544">
        <v>25.74444369746913</v>
      </c>
      <c r="G54" s="511">
        <v>2.2000000000000002</v>
      </c>
      <c r="H54" s="540">
        <v>25.4</v>
      </c>
      <c r="I54" s="511">
        <v>2.2000000000000002</v>
      </c>
      <c r="J54" s="540">
        <v>24.7</v>
      </c>
      <c r="K54" s="511">
        <v>2.2000000000000002</v>
      </c>
      <c r="L54" s="544">
        <v>30.906191596641456</v>
      </c>
      <c r="M54" s="511">
        <v>2.2000000000000002</v>
      </c>
      <c r="N54" s="607">
        <v>29.867475630208652</v>
      </c>
    </row>
    <row r="55" spans="1:14" hidden="1" x14ac:dyDescent="0.2">
      <c r="A55" s="509">
        <v>2.4</v>
      </c>
      <c r="B55" s="544">
        <v>14.4</v>
      </c>
      <c r="C55" s="511">
        <v>2.4</v>
      </c>
      <c r="D55" s="544">
        <v>26.153552941206421</v>
      </c>
      <c r="E55" s="511">
        <v>2.4</v>
      </c>
      <c r="F55" s="544">
        <v>27.555623529387397</v>
      </c>
      <c r="G55" s="511">
        <v>2.4</v>
      </c>
      <c r="H55" s="540">
        <v>27.5</v>
      </c>
      <c r="I55" s="511">
        <v>2.4</v>
      </c>
      <c r="J55" s="540">
        <v>26.5</v>
      </c>
      <c r="K55" s="511">
        <v>2.4</v>
      </c>
      <c r="L55" s="544">
        <v>33.344564705872394</v>
      </c>
      <c r="M55" s="511">
        <v>2.4</v>
      </c>
      <c r="N55" s="607">
        <v>32.595717646994302</v>
      </c>
    </row>
    <row r="56" spans="1:14" hidden="1" x14ac:dyDescent="0.2">
      <c r="A56" s="509">
        <v>2.6</v>
      </c>
      <c r="B56" s="544">
        <v>15.1</v>
      </c>
      <c r="C56" s="511">
        <v>2.6</v>
      </c>
      <c r="D56" s="544">
        <v>27.874352941206379</v>
      </c>
      <c r="E56" s="511">
        <v>2.6</v>
      </c>
      <c r="F56" s="544">
        <v>29.326823529370508</v>
      </c>
      <c r="G56" s="511">
        <v>2.6</v>
      </c>
      <c r="H56" s="540">
        <v>29.8</v>
      </c>
      <c r="I56" s="511">
        <v>2.6</v>
      </c>
      <c r="J56" s="540">
        <v>28.3</v>
      </c>
      <c r="K56" s="511">
        <v>2.6</v>
      </c>
      <c r="L56" s="544">
        <v>35.919764705858981</v>
      </c>
      <c r="M56" s="511">
        <v>2.6</v>
      </c>
      <c r="N56" s="607">
        <v>35.470117646972028</v>
      </c>
    </row>
    <row r="57" spans="1:14" hidden="1" x14ac:dyDescent="0.2">
      <c r="A57" s="509">
        <v>2.8</v>
      </c>
      <c r="B57" s="544">
        <v>15.8</v>
      </c>
      <c r="C57" s="511">
        <v>2.8</v>
      </c>
      <c r="D57" s="544">
        <v>29.626484033643731</v>
      </c>
      <c r="E57" s="511">
        <v>2.8</v>
      </c>
      <c r="F57" s="544">
        <v>31.046843697418204</v>
      </c>
      <c r="G57" s="511">
        <v>2.8</v>
      </c>
      <c r="H57" s="540">
        <v>32.200000000000003</v>
      </c>
      <c r="I57" s="511">
        <v>2.8</v>
      </c>
      <c r="J57" s="540">
        <v>30.1</v>
      </c>
      <c r="K57" s="511">
        <v>2.8</v>
      </c>
      <c r="L57" s="544">
        <v>38.616591596601246</v>
      </c>
      <c r="M57" s="511">
        <v>2.8</v>
      </c>
      <c r="N57" s="607">
        <v>38.456275630142081</v>
      </c>
    </row>
    <row r="58" spans="1:14" hidden="1" x14ac:dyDescent="0.2">
      <c r="A58" s="509">
        <v>3</v>
      </c>
      <c r="B58" s="544">
        <v>16.5</v>
      </c>
      <c r="C58" s="511">
        <v>3</v>
      </c>
      <c r="D58" s="544">
        <v>31.400000000031095</v>
      </c>
      <c r="E58" s="511">
        <v>3</v>
      </c>
      <c r="F58" s="544">
        <v>32.699999999916692</v>
      </c>
      <c r="G58" s="511">
        <v>3</v>
      </c>
      <c r="H58" s="540">
        <v>34.6</v>
      </c>
      <c r="I58" s="511">
        <v>3</v>
      </c>
      <c r="J58" s="540">
        <v>32</v>
      </c>
      <c r="K58" s="511">
        <v>3</v>
      </c>
      <c r="L58" s="544">
        <v>41.399999999947944</v>
      </c>
      <c r="M58" s="511">
        <v>3</v>
      </c>
      <c r="N58" s="607">
        <v>41.499999999866127</v>
      </c>
    </row>
    <row r="59" spans="1:14" hidden="1" x14ac:dyDescent="0.2">
      <c r="A59" s="509">
        <v>3.2</v>
      </c>
      <c r="B59" s="544">
        <v>17.2</v>
      </c>
      <c r="C59" s="511">
        <v>3.2</v>
      </c>
      <c r="D59" s="544">
        <v>33.175808403393603</v>
      </c>
      <c r="E59" s="511">
        <v>3.2</v>
      </c>
      <c r="F59" s="544">
        <v>34.266124369638661</v>
      </c>
      <c r="G59" s="511">
        <v>3.2</v>
      </c>
      <c r="H59" s="540">
        <v>37</v>
      </c>
      <c r="I59" s="511">
        <v>3.2</v>
      </c>
      <c r="J59" s="540">
        <v>33.799999999999997</v>
      </c>
      <c r="K59" s="511">
        <v>3.2</v>
      </c>
      <c r="L59" s="544">
        <v>44.215099159596498</v>
      </c>
      <c r="M59" s="511">
        <v>3.2</v>
      </c>
      <c r="N59" s="607">
        <v>44.527307562867129</v>
      </c>
    </row>
    <row r="60" spans="1:14" hidden="1" x14ac:dyDescent="0.2">
      <c r="A60" s="509">
        <v>3.4</v>
      </c>
      <c r="B60" s="544">
        <v>18</v>
      </c>
      <c r="C60" s="511">
        <v>3.4</v>
      </c>
      <c r="D60" s="544">
        <v>34.92567058826905</v>
      </c>
      <c r="E60" s="511">
        <v>3.4</v>
      </c>
      <c r="F60" s="544">
        <v>35.720564705743328</v>
      </c>
      <c r="G60" s="511">
        <v>3.4</v>
      </c>
      <c r="H60" s="540">
        <v>39.299999999999997</v>
      </c>
      <c r="I60" s="511">
        <v>3.4</v>
      </c>
      <c r="J60" s="540">
        <v>35.5</v>
      </c>
      <c r="K60" s="511">
        <v>3.4</v>
      </c>
      <c r="L60" s="544">
        <v>46.987152941092937</v>
      </c>
      <c r="M60" s="511">
        <v>3.4</v>
      </c>
      <c r="N60" s="607">
        <v>47.444423529229418</v>
      </c>
    </row>
    <row r="61" spans="1:14" hidden="1" x14ac:dyDescent="0.2">
      <c r="A61" s="509">
        <v>3.6</v>
      </c>
      <c r="B61" s="544">
        <v>18.899999999999999</v>
      </c>
      <c r="C61" s="511">
        <v>3.6</v>
      </c>
      <c r="D61" s="544">
        <v>36.612201680707692</v>
      </c>
      <c r="E61" s="511">
        <v>3.6</v>
      </c>
      <c r="F61" s="544">
        <v>37.034184873776368</v>
      </c>
      <c r="G61" s="511">
        <v>3.6</v>
      </c>
      <c r="H61" s="540">
        <v>41.4</v>
      </c>
      <c r="I61" s="511">
        <v>3.6</v>
      </c>
      <c r="J61" s="540">
        <v>37.1</v>
      </c>
      <c r="K61" s="511">
        <v>3.6</v>
      </c>
      <c r="L61" s="544">
        <v>49.621579831832086</v>
      </c>
      <c r="M61" s="511">
        <v>3.6</v>
      </c>
      <c r="N61" s="607">
        <v>50.137781512398682</v>
      </c>
    </row>
    <row r="62" spans="1:14" hidden="1" x14ac:dyDescent="0.2">
      <c r="A62" s="509">
        <v>3.8</v>
      </c>
      <c r="B62" s="544">
        <v>20</v>
      </c>
      <c r="C62" s="511">
        <v>3.8</v>
      </c>
      <c r="D62" s="544">
        <v>38.188870588272401</v>
      </c>
      <c r="E62" s="511">
        <v>3.8</v>
      </c>
      <c r="F62" s="544">
        <v>38.173364705669982</v>
      </c>
      <c r="G62" s="511">
        <v>3.8</v>
      </c>
      <c r="H62" s="540">
        <v>43.1</v>
      </c>
      <c r="I62" s="511">
        <v>3.8</v>
      </c>
      <c r="J62" s="540">
        <v>38.299999999999997</v>
      </c>
      <c r="K62" s="511">
        <v>3.8</v>
      </c>
      <c r="L62" s="544">
        <v>52.003952941057243</v>
      </c>
      <c r="M62" s="511">
        <v>3.8</v>
      </c>
      <c r="N62" s="607">
        <v>52.474023529181956</v>
      </c>
    </row>
    <row r="63" spans="1:14" ht="13.5" hidden="1" thickBot="1" x14ac:dyDescent="0.25">
      <c r="A63" s="510">
        <v>4</v>
      </c>
      <c r="B63" s="543">
        <v>21.4</v>
      </c>
      <c r="C63" s="534">
        <v>4</v>
      </c>
      <c r="D63" s="543">
        <v>39.600000000038669</v>
      </c>
      <c r="E63" s="534">
        <v>4</v>
      </c>
      <c r="F63" s="543">
        <v>39.099999999742849</v>
      </c>
      <c r="G63" s="534">
        <v>4</v>
      </c>
      <c r="H63" s="542">
        <v>44.4</v>
      </c>
      <c r="I63" s="534">
        <v>4</v>
      </c>
      <c r="J63" s="542">
        <v>39.299999999999997</v>
      </c>
      <c r="K63" s="534">
        <v>4</v>
      </c>
      <c r="L63" s="543">
        <v>53.999999999860599</v>
      </c>
      <c r="M63" s="534">
        <v>4</v>
      </c>
      <c r="N63" s="608">
        <v>54.299999999747634</v>
      </c>
    </row>
    <row r="64" spans="1:14" ht="14.25" hidden="1" thickTop="1" thickBot="1" x14ac:dyDescent="0.25"/>
    <row r="65" spans="1:16" ht="13.5" hidden="1" thickTop="1" x14ac:dyDescent="0.2">
      <c r="A65" s="753" t="s">
        <v>713</v>
      </c>
      <c r="B65" s="754"/>
      <c r="C65" s="925" t="s">
        <v>712</v>
      </c>
      <c r="D65" s="754"/>
      <c r="E65" s="925" t="s">
        <v>711</v>
      </c>
      <c r="F65" s="925"/>
      <c r="G65" s="925" t="s">
        <v>710</v>
      </c>
      <c r="H65" s="754"/>
      <c r="I65" s="925" t="s">
        <v>709</v>
      </c>
      <c r="J65" s="754"/>
      <c r="K65" s="925" t="s">
        <v>708</v>
      </c>
      <c r="L65" s="754"/>
      <c r="M65" s="925" t="s">
        <v>707</v>
      </c>
      <c r="N65" s="925"/>
      <c r="O65" s="925" t="s">
        <v>706</v>
      </c>
      <c r="P65" s="926"/>
    </row>
    <row r="66" spans="1:16" hidden="1" x14ac:dyDescent="0.2">
      <c r="A66" s="509" t="s">
        <v>678</v>
      </c>
      <c r="B66" s="511" t="s">
        <v>649</v>
      </c>
      <c r="C66" s="511" t="s">
        <v>678</v>
      </c>
      <c r="D66" s="511" t="s">
        <v>649</v>
      </c>
      <c r="E66" s="511" t="s">
        <v>678</v>
      </c>
      <c r="F66" s="511" t="s">
        <v>649</v>
      </c>
      <c r="G66" s="511" t="s">
        <v>678</v>
      </c>
      <c r="H66" s="511" t="s">
        <v>649</v>
      </c>
      <c r="I66" s="511" t="s">
        <v>678</v>
      </c>
      <c r="J66" s="511" t="s">
        <v>649</v>
      </c>
      <c r="K66" s="511" t="s">
        <v>678</v>
      </c>
      <c r="L66" s="511" t="s">
        <v>649</v>
      </c>
      <c r="M66" s="511" t="s">
        <v>678</v>
      </c>
      <c r="N66" s="511" t="s">
        <v>649</v>
      </c>
      <c r="O66" s="511" t="s">
        <v>678</v>
      </c>
      <c r="P66" s="508" t="s">
        <v>649</v>
      </c>
    </row>
    <row r="67" spans="1:16" hidden="1" x14ac:dyDescent="0.2">
      <c r="A67" s="509">
        <v>0.6</v>
      </c>
      <c r="B67" s="511">
        <v>10.4</v>
      </c>
      <c r="C67" s="511">
        <v>0.6</v>
      </c>
      <c r="D67" s="511">
        <v>10.8</v>
      </c>
      <c r="E67" s="511">
        <v>0.6</v>
      </c>
      <c r="F67" s="603">
        <v>14.900000000066951</v>
      </c>
      <c r="G67" s="511">
        <v>0.6</v>
      </c>
      <c r="H67" s="603">
        <v>15.000000000066381</v>
      </c>
      <c r="I67" s="511">
        <v>0.6</v>
      </c>
      <c r="J67" s="540">
        <v>15.6</v>
      </c>
      <c r="K67" s="511">
        <v>0.6</v>
      </c>
      <c r="L67" s="540">
        <v>16.8</v>
      </c>
      <c r="M67" s="511">
        <v>0.6</v>
      </c>
      <c r="N67" s="603">
        <v>35.20000000015169</v>
      </c>
      <c r="O67" s="511">
        <v>0.6</v>
      </c>
      <c r="P67" s="603">
        <v>35.0000000001628</v>
      </c>
    </row>
    <row r="68" spans="1:16" hidden="1" x14ac:dyDescent="0.2">
      <c r="A68" s="509">
        <v>0.8</v>
      </c>
      <c r="B68" s="511">
        <v>12.8</v>
      </c>
      <c r="C68" s="511">
        <v>0.8</v>
      </c>
      <c r="D68" s="511">
        <v>13.2</v>
      </c>
      <c r="E68" s="511">
        <v>0.8</v>
      </c>
      <c r="F68" s="603">
        <v>18.793573109313208</v>
      </c>
      <c r="G68" s="511">
        <v>0.8</v>
      </c>
      <c r="H68" s="603">
        <v>19.930312605113315</v>
      </c>
      <c r="I68" s="511">
        <v>0.8</v>
      </c>
      <c r="J68" s="540">
        <v>19.2</v>
      </c>
      <c r="K68" s="511">
        <v>0.8</v>
      </c>
      <c r="L68" s="540">
        <v>19.899999999999999</v>
      </c>
      <c r="M68" s="511">
        <v>0.8</v>
      </c>
      <c r="N68" s="603">
        <v>43.380221848899822</v>
      </c>
      <c r="O68" s="511">
        <v>0.8</v>
      </c>
      <c r="P68" s="603">
        <v>43.013136134615038</v>
      </c>
    </row>
    <row r="69" spans="1:16" hidden="1" x14ac:dyDescent="0.2">
      <c r="A69" s="509">
        <v>1</v>
      </c>
      <c r="B69" s="511">
        <v>15.2</v>
      </c>
      <c r="C69" s="511">
        <v>1</v>
      </c>
      <c r="D69" s="511">
        <v>15.5</v>
      </c>
      <c r="E69" s="511">
        <v>1</v>
      </c>
      <c r="F69" s="603">
        <v>22.400000000066672</v>
      </c>
      <c r="G69" s="511">
        <v>1</v>
      </c>
      <c r="H69" s="603">
        <v>24.000000000071644</v>
      </c>
      <c r="I69" s="511">
        <v>1</v>
      </c>
      <c r="J69" s="540">
        <v>22.6</v>
      </c>
      <c r="K69" s="511">
        <v>1</v>
      </c>
      <c r="L69" s="540">
        <v>23.1</v>
      </c>
      <c r="M69" s="511">
        <v>1</v>
      </c>
      <c r="N69" s="603">
        <v>50.200000000159598</v>
      </c>
      <c r="O69" s="511">
        <v>1</v>
      </c>
      <c r="P69" s="603">
        <v>49.600000000152178</v>
      </c>
    </row>
    <row r="70" spans="1:16" hidden="1" x14ac:dyDescent="0.2">
      <c r="A70" s="509">
        <v>1.2</v>
      </c>
      <c r="B70" s="511">
        <v>17.5</v>
      </c>
      <c r="C70" s="511">
        <v>1.2</v>
      </c>
      <c r="D70" s="511">
        <v>17.899999999999999</v>
      </c>
      <c r="E70" s="511">
        <v>1.2</v>
      </c>
      <c r="F70" s="603">
        <v>25.822776470647259</v>
      </c>
      <c r="G70" s="511">
        <v>1.2</v>
      </c>
      <c r="H70" s="603">
        <v>27.492423529480234</v>
      </c>
      <c r="I70" s="511">
        <v>1.2</v>
      </c>
      <c r="J70" s="540">
        <v>26</v>
      </c>
      <c r="K70" s="511">
        <v>1.2</v>
      </c>
      <c r="L70" s="540">
        <v>26.3</v>
      </c>
      <c r="M70" s="511">
        <v>1.2</v>
      </c>
      <c r="N70" s="603">
        <v>56.082494117797602</v>
      </c>
      <c r="O70" s="511">
        <v>1.2</v>
      </c>
      <c r="P70" s="603">
        <v>55.348894117784326</v>
      </c>
    </row>
    <row r="71" spans="1:16" hidden="1" x14ac:dyDescent="0.2">
      <c r="A71" s="509">
        <v>1.4</v>
      </c>
      <c r="B71" s="511">
        <v>19.899999999999999</v>
      </c>
      <c r="C71" s="511">
        <v>1.4</v>
      </c>
      <c r="D71" s="511">
        <v>20.2</v>
      </c>
      <c r="E71" s="511">
        <v>1.4</v>
      </c>
      <c r="F71" s="603">
        <v>29.149761344584956</v>
      </c>
      <c r="G71" s="511">
        <v>1.4</v>
      </c>
      <c r="H71" s="603">
        <v>30.649324369810685</v>
      </c>
      <c r="I71" s="511">
        <v>1.4</v>
      </c>
      <c r="J71" s="540">
        <v>29.4</v>
      </c>
      <c r="K71" s="511">
        <v>1.4</v>
      </c>
      <c r="L71" s="540">
        <v>29.7</v>
      </c>
      <c r="M71" s="511">
        <v>1.4</v>
      </c>
      <c r="N71" s="603">
        <v>61.40506890769722</v>
      </c>
      <c r="O71" s="511">
        <v>1.4</v>
      </c>
      <c r="P71" s="603">
        <v>60.764383193395446</v>
      </c>
    </row>
    <row r="72" spans="1:16" hidden="1" x14ac:dyDescent="0.2">
      <c r="A72" s="509">
        <v>1.6</v>
      </c>
      <c r="B72" s="511">
        <v>22.2</v>
      </c>
      <c r="C72" s="511">
        <v>1.6</v>
      </c>
      <c r="D72" s="511">
        <v>22.7</v>
      </c>
      <c r="E72" s="511">
        <v>1.6</v>
      </c>
      <c r="F72" s="603">
        <v>32.453176470619859</v>
      </c>
      <c r="G72" s="511">
        <v>1.6</v>
      </c>
      <c r="H72" s="603">
        <v>33.670823529467256</v>
      </c>
      <c r="I72" s="511">
        <v>1.6</v>
      </c>
      <c r="J72" s="540">
        <v>33</v>
      </c>
      <c r="K72" s="511">
        <v>1.6</v>
      </c>
      <c r="L72" s="540">
        <v>33.1</v>
      </c>
      <c r="M72" s="511">
        <v>1.6</v>
      </c>
      <c r="N72" s="603">
        <v>66.499294117758581</v>
      </c>
      <c r="O72" s="511">
        <v>1.6</v>
      </c>
      <c r="P72" s="603">
        <v>66.267294117743333</v>
      </c>
    </row>
    <row r="73" spans="1:16" hidden="1" x14ac:dyDescent="0.2">
      <c r="A73" s="509">
        <v>1.8</v>
      </c>
      <c r="B73" s="511">
        <v>24.5</v>
      </c>
      <c r="C73" s="511">
        <v>1.8</v>
      </c>
      <c r="D73" s="511">
        <v>25.1</v>
      </c>
      <c r="E73" s="511">
        <v>1.8</v>
      </c>
      <c r="F73" s="603">
        <v>35.789606722702139</v>
      </c>
      <c r="G73" s="511">
        <v>1.8</v>
      </c>
      <c r="H73" s="603">
        <v>36.715421848786924</v>
      </c>
      <c r="I73" s="511">
        <v>1.8</v>
      </c>
      <c r="J73" s="540">
        <v>36.6</v>
      </c>
      <c r="K73" s="511">
        <v>1.8</v>
      </c>
      <c r="L73" s="540">
        <v>36.700000000000003</v>
      </c>
      <c r="M73" s="511">
        <v>1.8</v>
      </c>
      <c r="N73" s="603">
        <v>71.650944537898582</v>
      </c>
      <c r="O73" s="511">
        <v>1.8</v>
      </c>
      <c r="P73" s="603">
        <v>72.194715966459682</v>
      </c>
    </row>
    <row r="74" spans="1:16" hidden="1" x14ac:dyDescent="0.2">
      <c r="A74" s="509">
        <v>2</v>
      </c>
      <c r="B74" s="511">
        <v>26.9</v>
      </c>
      <c r="C74" s="511">
        <v>2</v>
      </c>
      <c r="D74" s="511">
        <v>27.6</v>
      </c>
      <c r="E74" s="511">
        <v>2</v>
      </c>
      <c r="F74" s="603">
        <v>39.199999999992045</v>
      </c>
      <c r="G74" s="511">
        <v>2</v>
      </c>
      <c r="H74" s="603">
        <v>39.900000000039356</v>
      </c>
      <c r="I74" s="511">
        <v>2</v>
      </c>
      <c r="J74" s="540">
        <v>40.5</v>
      </c>
      <c r="K74" s="511">
        <v>2</v>
      </c>
      <c r="L74" s="540">
        <v>40.5</v>
      </c>
      <c r="M74" s="511">
        <v>2</v>
      </c>
      <c r="N74" s="603">
        <v>77.100000000050898</v>
      </c>
      <c r="O74" s="511">
        <v>2</v>
      </c>
      <c r="P74" s="603">
        <v>78.80000000004982</v>
      </c>
    </row>
    <row r="75" spans="1:16" hidden="1" x14ac:dyDescent="0.2">
      <c r="A75" s="509">
        <v>2.2000000000000002</v>
      </c>
      <c r="B75" s="511">
        <v>29.3</v>
      </c>
      <c r="C75" s="511">
        <v>2.2000000000000002</v>
      </c>
      <c r="D75" s="511">
        <v>30.1</v>
      </c>
      <c r="E75" s="511">
        <v>2.2000000000000002</v>
      </c>
      <c r="F75" s="603">
        <v>42.709667226859942</v>
      </c>
      <c r="G75" s="511">
        <v>2.2000000000000002</v>
      </c>
      <c r="H75" s="603">
        <v>43.299818487426919</v>
      </c>
      <c r="I75" s="511">
        <v>2.2000000000000002</v>
      </c>
      <c r="J75" s="540">
        <v>44.5</v>
      </c>
      <c r="K75" s="511">
        <v>2.2000000000000002</v>
      </c>
      <c r="L75" s="540">
        <v>44.4</v>
      </c>
      <c r="M75" s="511">
        <v>2.2000000000000002</v>
      </c>
      <c r="N75" s="603">
        <v>83.040645378165948</v>
      </c>
      <c r="O75" s="511">
        <v>2.2000000000000002</v>
      </c>
      <c r="P75" s="603">
        <v>86.252759663893144</v>
      </c>
    </row>
    <row r="76" spans="1:16" hidden="1" x14ac:dyDescent="0.2">
      <c r="A76" s="509">
        <v>2.4</v>
      </c>
      <c r="B76" s="511">
        <v>31.7</v>
      </c>
      <c r="C76" s="511">
        <v>2.4</v>
      </c>
      <c r="D76" s="511">
        <v>32.700000000000003</v>
      </c>
      <c r="E76" s="511">
        <v>2.4</v>
      </c>
      <c r="F76" s="603">
        <v>46.328282352886262</v>
      </c>
      <c r="G76" s="511">
        <v>2.4</v>
      </c>
      <c r="H76" s="603">
        <v>46.948517647084614</v>
      </c>
      <c r="I76" s="511">
        <v>2.4</v>
      </c>
      <c r="J76" s="540">
        <v>48.7</v>
      </c>
      <c r="K76" s="511">
        <v>2.4</v>
      </c>
      <c r="L76" s="540">
        <v>48.4</v>
      </c>
      <c r="M76" s="511">
        <v>2.4</v>
      </c>
      <c r="N76" s="603">
        <v>89.621270588210848</v>
      </c>
      <c r="O76" s="511">
        <v>2.4</v>
      </c>
      <c r="P76" s="603">
        <v>94.638870588242682</v>
      </c>
    </row>
    <row r="77" spans="1:16" hidden="1" x14ac:dyDescent="0.2">
      <c r="A77" s="509">
        <v>2.6</v>
      </c>
      <c r="B77" s="511">
        <v>34.200000000000003</v>
      </c>
      <c r="C77" s="511">
        <v>2.6</v>
      </c>
      <c r="D77" s="511">
        <v>35.200000000000003</v>
      </c>
      <c r="E77" s="511">
        <v>2.6</v>
      </c>
      <c r="F77" s="603">
        <v>50.049882352861509</v>
      </c>
      <c r="G77" s="511">
        <v>2.6</v>
      </c>
      <c r="H77" s="603">
        <v>50.838117647080281</v>
      </c>
      <c r="I77" s="511">
        <v>2.6</v>
      </c>
      <c r="J77" s="540">
        <v>53</v>
      </c>
      <c r="K77" s="511">
        <v>2.6</v>
      </c>
      <c r="L77" s="540">
        <v>52.4</v>
      </c>
      <c r="M77" s="511">
        <v>2.6</v>
      </c>
      <c r="N77" s="603">
        <v>96.944470588169708</v>
      </c>
      <c r="O77" s="511">
        <v>2.6</v>
      </c>
      <c r="P77" s="605">
        <v>103.96047058822545</v>
      </c>
    </row>
    <row r="78" spans="1:16" hidden="1" x14ac:dyDescent="0.2">
      <c r="A78" s="509">
        <v>2.8</v>
      </c>
      <c r="B78" s="511">
        <v>36.799999999999997</v>
      </c>
      <c r="C78" s="511">
        <v>2.8</v>
      </c>
      <c r="D78" s="511">
        <v>37.799999999999997</v>
      </c>
      <c r="E78" s="511">
        <v>2.8</v>
      </c>
      <c r="F78" s="603">
        <v>53.852867226786309</v>
      </c>
      <c r="G78" s="511">
        <v>2.8</v>
      </c>
      <c r="H78" s="603">
        <v>54.91901848741422</v>
      </c>
      <c r="I78" s="511">
        <v>2.8</v>
      </c>
      <c r="J78" s="540">
        <v>57.4</v>
      </c>
      <c r="K78" s="511">
        <v>2.8</v>
      </c>
      <c r="L78" s="540">
        <v>56.4</v>
      </c>
      <c r="M78" s="511">
        <v>2.8</v>
      </c>
      <c r="N78" s="605">
        <v>105.06704537804299</v>
      </c>
      <c r="O78" s="511">
        <v>2.8</v>
      </c>
      <c r="P78" s="605">
        <v>114.13595966384209</v>
      </c>
    </row>
    <row r="79" spans="1:16" hidden="1" x14ac:dyDescent="0.2">
      <c r="A79" s="509">
        <v>3</v>
      </c>
      <c r="B79" s="511">
        <v>39.4</v>
      </c>
      <c r="C79" s="511">
        <v>3</v>
      </c>
      <c r="D79" s="511">
        <v>40.4</v>
      </c>
      <c r="E79" s="511">
        <v>3</v>
      </c>
      <c r="F79" s="603">
        <v>57.699999999871388</v>
      </c>
      <c r="G79" s="511">
        <v>3</v>
      </c>
      <c r="H79" s="603">
        <v>59.100000000019705</v>
      </c>
      <c r="I79" s="511">
        <v>3</v>
      </c>
      <c r="J79" s="540">
        <v>61.8</v>
      </c>
      <c r="K79" s="511">
        <v>3</v>
      </c>
      <c r="L79" s="540">
        <v>60.4</v>
      </c>
      <c r="M79" s="511">
        <v>3</v>
      </c>
      <c r="N79" s="605">
        <v>113.9999999998484</v>
      </c>
      <c r="O79" s="511">
        <v>3</v>
      </c>
      <c r="P79" s="605">
        <v>124.99999999996727</v>
      </c>
    </row>
    <row r="80" spans="1:16" hidden="1" x14ac:dyDescent="0.2">
      <c r="A80" s="509">
        <v>3.2</v>
      </c>
      <c r="B80" s="511">
        <v>42.1</v>
      </c>
      <c r="C80" s="511">
        <v>3.2</v>
      </c>
      <c r="D80" s="511">
        <v>42.9</v>
      </c>
      <c r="E80" s="511">
        <v>3.2</v>
      </c>
      <c r="F80" s="603">
        <v>61.538406722537481</v>
      </c>
      <c r="G80" s="511">
        <v>3.2</v>
      </c>
      <c r="H80" s="603">
        <v>63.248221848762554</v>
      </c>
      <c r="I80" s="511">
        <v>3.2</v>
      </c>
      <c r="J80" s="540">
        <v>66.099999999999994</v>
      </c>
      <c r="K80" s="511">
        <v>3.2</v>
      </c>
      <c r="L80" s="540">
        <v>64.2</v>
      </c>
      <c r="M80" s="511">
        <v>3.2</v>
      </c>
      <c r="N80" s="605">
        <v>123.70854453762001</v>
      </c>
      <c r="O80" s="511">
        <v>3.2</v>
      </c>
      <c r="P80" s="605">
        <v>136.30351596634944</v>
      </c>
    </row>
    <row r="81" spans="1:16" hidden="1" x14ac:dyDescent="0.2">
      <c r="A81" s="509">
        <v>3.4</v>
      </c>
      <c r="B81" s="511">
        <v>44.9</v>
      </c>
      <c r="C81" s="511">
        <v>3.4</v>
      </c>
      <c r="D81" s="511">
        <v>45.4</v>
      </c>
      <c r="E81" s="511">
        <v>3.4</v>
      </c>
      <c r="F81" s="603">
        <v>65.299576470415502</v>
      </c>
      <c r="G81" s="511">
        <v>3.4</v>
      </c>
      <c r="H81" s="603">
        <v>67.189223529441236</v>
      </c>
      <c r="I81" s="511">
        <v>3.4</v>
      </c>
      <c r="J81" s="540">
        <v>70.099999999999994</v>
      </c>
      <c r="K81" s="511">
        <v>3.4</v>
      </c>
      <c r="L81" s="540">
        <v>67.8</v>
      </c>
      <c r="M81" s="511">
        <v>3.4</v>
      </c>
      <c r="N81" s="605">
        <v>134.11209411740896</v>
      </c>
      <c r="O81" s="511">
        <v>3.4</v>
      </c>
      <c r="P81" s="605">
        <v>147.713694117611</v>
      </c>
    </row>
    <row r="82" spans="1:16" hidden="1" x14ac:dyDescent="0.2">
      <c r="A82" s="509">
        <v>3.6</v>
      </c>
      <c r="B82" s="511">
        <v>47.9</v>
      </c>
      <c r="C82" s="511">
        <v>3.6</v>
      </c>
      <c r="D82" s="511">
        <v>47.8</v>
      </c>
      <c r="E82" s="511">
        <v>3.6</v>
      </c>
      <c r="F82" s="603">
        <v>68.899361344346417</v>
      </c>
      <c r="G82" s="511">
        <v>3.6</v>
      </c>
      <c r="H82" s="603">
        <v>70.706924369786961</v>
      </c>
      <c r="I82" s="511">
        <v>3.6</v>
      </c>
      <c r="J82" s="540">
        <v>73.8</v>
      </c>
      <c r="K82" s="511">
        <v>3.6</v>
      </c>
      <c r="L82" s="540">
        <v>71.099999999999994</v>
      </c>
      <c r="M82" s="511">
        <v>3.6</v>
      </c>
      <c r="N82" s="605">
        <v>145.08426890728288</v>
      </c>
      <c r="O82" s="511">
        <v>3.6</v>
      </c>
      <c r="P82" s="605">
        <v>158.81398319324796</v>
      </c>
    </row>
    <row r="83" spans="1:16" hidden="1" x14ac:dyDescent="0.2">
      <c r="A83" s="509">
        <v>3.8</v>
      </c>
      <c r="B83" s="511">
        <v>50.9</v>
      </c>
      <c r="C83" s="511">
        <v>3.8</v>
      </c>
      <c r="D83" s="511">
        <v>50.1</v>
      </c>
      <c r="E83" s="511">
        <v>3.8</v>
      </c>
      <c r="F83" s="603">
        <v>72.237976470381199</v>
      </c>
      <c r="G83" s="511">
        <v>3.8</v>
      </c>
      <c r="H83" s="603">
        <v>73.543623529463744</v>
      </c>
      <c r="I83" s="511">
        <v>3.8</v>
      </c>
      <c r="J83" s="540">
        <v>76.900000000000006</v>
      </c>
      <c r="K83" s="511">
        <v>3.8</v>
      </c>
      <c r="L83" s="540">
        <v>73.8</v>
      </c>
      <c r="M83" s="511">
        <v>3.8</v>
      </c>
      <c r="N83" s="605">
        <v>156.45289411732631</v>
      </c>
      <c r="O83" s="511">
        <v>3.8</v>
      </c>
      <c r="P83" s="605">
        <v>169.10409411762959</v>
      </c>
    </row>
    <row r="84" spans="1:16" ht="13.5" hidden="1" thickBot="1" x14ac:dyDescent="0.25">
      <c r="A84" s="510">
        <v>4</v>
      </c>
      <c r="B84" s="534">
        <v>54.1</v>
      </c>
      <c r="C84" s="534">
        <v>4</v>
      </c>
      <c r="D84" s="534">
        <v>52.3</v>
      </c>
      <c r="E84" s="534">
        <v>4</v>
      </c>
      <c r="F84" s="604">
        <v>75.199999999781127</v>
      </c>
      <c r="G84" s="534">
        <v>4</v>
      </c>
      <c r="H84" s="604">
        <v>75.40000000006809</v>
      </c>
      <c r="I84" s="534">
        <v>4</v>
      </c>
      <c r="J84" s="542">
        <v>79.400000000000006</v>
      </c>
      <c r="K84" s="534">
        <v>4</v>
      </c>
      <c r="L84" s="542">
        <v>76</v>
      </c>
      <c r="M84" s="534">
        <v>4</v>
      </c>
      <c r="N84" s="606">
        <v>167.99999999964075</v>
      </c>
      <c r="O84" s="534">
        <v>4</v>
      </c>
      <c r="P84" s="606">
        <v>178.00000000000074</v>
      </c>
    </row>
    <row r="85" spans="1:16" ht="14.25" hidden="1" thickTop="1" thickBot="1" x14ac:dyDescent="0.25"/>
    <row r="86" spans="1:16" ht="13.5" hidden="1" thickTop="1" x14ac:dyDescent="0.2">
      <c r="A86" s="753" t="s">
        <v>705</v>
      </c>
      <c r="B86" s="754"/>
      <c r="C86" s="925" t="s">
        <v>704</v>
      </c>
      <c r="D86" s="754"/>
      <c r="E86" s="925" t="s">
        <v>703</v>
      </c>
      <c r="F86" s="925"/>
      <c r="G86" s="925" t="s">
        <v>702</v>
      </c>
      <c r="H86" s="759"/>
      <c r="I86" s="927"/>
      <c r="J86" s="847"/>
      <c r="K86" s="927"/>
      <c r="L86" s="847"/>
      <c r="M86" s="541"/>
    </row>
    <row r="87" spans="1:16" hidden="1" x14ac:dyDescent="0.2">
      <c r="A87" s="509" t="s">
        <v>678</v>
      </c>
      <c r="B87" s="511" t="s">
        <v>649</v>
      </c>
      <c r="C87" s="511" t="s">
        <v>678</v>
      </c>
      <c r="D87" s="511" t="s">
        <v>649</v>
      </c>
      <c r="E87" s="511" t="s">
        <v>678</v>
      </c>
      <c r="F87" s="511" t="s">
        <v>649</v>
      </c>
      <c r="G87" s="511" t="s">
        <v>678</v>
      </c>
      <c r="H87" s="508" t="s">
        <v>649</v>
      </c>
      <c r="I87" s="60"/>
      <c r="J87" s="60"/>
      <c r="K87" s="60"/>
      <c r="L87" s="60"/>
      <c r="M87" s="60"/>
    </row>
    <row r="88" spans="1:16" hidden="1" x14ac:dyDescent="0.2">
      <c r="A88" s="509">
        <v>0.6</v>
      </c>
      <c r="B88" s="511">
        <v>32.4</v>
      </c>
      <c r="C88" s="511">
        <v>0.6</v>
      </c>
      <c r="D88" s="540">
        <v>30.4</v>
      </c>
      <c r="E88" s="511">
        <v>0.6</v>
      </c>
      <c r="F88" s="544">
        <v>43.600000000198634</v>
      </c>
      <c r="G88" s="511">
        <v>0.6</v>
      </c>
      <c r="H88" s="607">
        <v>45.400000000197892</v>
      </c>
      <c r="I88" s="60"/>
      <c r="J88" s="25"/>
      <c r="K88" s="60"/>
      <c r="L88" s="25"/>
      <c r="M88" s="60"/>
    </row>
    <row r="89" spans="1:16" hidden="1" x14ac:dyDescent="0.2">
      <c r="A89" s="509">
        <v>0.8</v>
      </c>
      <c r="B89" s="511">
        <v>39.4</v>
      </c>
      <c r="C89" s="511">
        <v>0.8</v>
      </c>
      <c r="D89" s="540">
        <v>38.299999999999997</v>
      </c>
      <c r="E89" s="511">
        <v>0.8</v>
      </c>
      <c r="F89" s="544">
        <v>54.262036975000058</v>
      </c>
      <c r="G89" s="511">
        <v>0.8</v>
      </c>
      <c r="H89" s="607">
        <v>56.718373109442375</v>
      </c>
      <c r="I89" s="60"/>
      <c r="J89" s="25"/>
      <c r="K89" s="60"/>
      <c r="L89" s="25"/>
      <c r="M89" s="60"/>
    </row>
    <row r="90" spans="1:16" hidden="1" x14ac:dyDescent="0.2">
      <c r="A90" s="509">
        <v>1</v>
      </c>
      <c r="B90" s="511">
        <v>45.7</v>
      </c>
      <c r="C90" s="511">
        <v>1</v>
      </c>
      <c r="D90" s="540">
        <v>45.9</v>
      </c>
      <c r="E90" s="511">
        <v>1</v>
      </c>
      <c r="F90" s="544">
        <v>64.400000000207456</v>
      </c>
      <c r="G90" s="511">
        <v>1</v>
      </c>
      <c r="H90" s="607">
        <v>67.400000000184377</v>
      </c>
      <c r="I90" s="60"/>
      <c r="J90" s="25"/>
      <c r="K90" s="60"/>
      <c r="L90" s="25"/>
      <c r="M90" s="60"/>
    </row>
    <row r="91" spans="1:16" hidden="1" x14ac:dyDescent="0.2">
      <c r="A91" s="509">
        <v>1.2</v>
      </c>
      <c r="B91" s="511">
        <v>51.4</v>
      </c>
      <c r="C91" s="511">
        <v>1.2</v>
      </c>
      <c r="D91" s="540">
        <v>53.2</v>
      </c>
      <c r="E91" s="511">
        <v>1.2</v>
      </c>
      <c r="F91" s="544">
        <v>74.205082353134614</v>
      </c>
      <c r="G91" s="511">
        <v>1.2</v>
      </c>
      <c r="H91" s="607">
        <v>77.672376470745021</v>
      </c>
      <c r="I91" s="60"/>
      <c r="J91" s="25"/>
      <c r="K91" s="60"/>
      <c r="L91" s="25"/>
      <c r="M91" s="60"/>
    </row>
    <row r="92" spans="1:16" hidden="1" x14ac:dyDescent="0.2">
      <c r="A92" s="509">
        <v>1.4</v>
      </c>
      <c r="B92" s="511">
        <v>56.9</v>
      </c>
      <c r="C92" s="511">
        <v>1.4</v>
      </c>
      <c r="D92" s="540">
        <v>60.2</v>
      </c>
      <c r="E92" s="511">
        <v>1.4</v>
      </c>
      <c r="F92" s="544">
        <v>83.842178151431227</v>
      </c>
      <c r="G92" s="511">
        <v>1.4</v>
      </c>
      <c r="H92" s="607">
        <v>87.728161344655305</v>
      </c>
      <c r="I92" s="60"/>
      <c r="J92" s="25"/>
      <c r="K92" s="60"/>
      <c r="L92" s="25"/>
      <c r="M92" s="60"/>
    </row>
    <row r="93" spans="1:16" hidden="1" x14ac:dyDescent="0.2">
      <c r="A93" s="509">
        <v>1.6</v>
      </c>
      <c r="B93" s="511">
        <v>62.2</v>
      </c>
      <c r="C93" s="511">
        <v>1.6</v>
      </c>
      <c r="D93" s="540">
        <v>67</v>
      </c>
      <c r="E93" s="511">
        <v>1.6</v>
      </c>
      <c r="F93" s="544">
        <v>93.449882353082941</v>
      </c>
      <c r="G93" s="511">
        <v>1.6</v>
      </c>
      <c r="H93" s="607">
        <v>97.725176470656123</v>
      </c>
      <c r="I93" s="60"/>
      <c r="J93" s="25"/>
      <c r="K93" s="60"/>
      <c r="L93" s="25"/>
      <c r="M93" s="60"/>
    </row>
    <row r="94" spans="1:16" hidden="1" x14ac:dyDescent="0.2">
      <c r="A94" s="509">
        <v>1.8</v>
      </c>
      <c r="B94" s="511">
        <v>67.7</v>
      </c>
      <c r="C94" s="511">
        <v>1.8</v>
      </c>
      <c r="D94" s="540">
        <v>73.7</v>
      </c>
      <c r="E94" s="511">
        <v>1.8</v>
      </c>
      <c r="F94" s="544">
        <v>103.14049075641128</v>
      </c>
      <c r="G94" s="511">
        <v>1.8</v>
      </c>
      <c r="H94" s="607">
        <v>107.78640672269835</v>
      </c>
      <c r="I94" s="60"/>
      <c r="J94" s="25"/>
      <c r="K94" s="60"/>
      <c r="L94" s="25"/>
      <c r="M94" s="60"/>
    </row>
    <row r="95" spans="1:16" hidden="1" x14ac:dyDescent="0.2">
      <c r="A95" s="509">
        <v>2</v>
      </c>
      <c r="B95" s="511">
        <v>73.400000000000006</v>
      </c>
      <c r="C95" s="511">
        <v>2</v>
      </c>
      <c r="D95" s="540">
        <v>80.400000000000006</v>
      </c>
      <c r="E95" s="511">
        <v>2</v>
      </c>
      <c r="F95" s="544">
        <v>113.00000000007368</v>
      </c>
      <c r="G95" s="511">
        <v>2</v>
      </c>
      <c r="H95" s="607">
        <v>117.99999999994267</v>
      </c>
      <c r="I95" s="60"/>
      <c r="J95" s="25"/>
      <c r="K95" s="60"/>
      <c r="L95" s="25"/>
      <c r="M95" s="60"/>
    </row>
    <row r="96" spans="1:16" hidden="1" x14ac:dyDescent="0.2">
      <c r="A96" s="509">
        <v>2.2000000000000002</v>
      </c>
      <c r="B96" s="511">
        <v>79.400000000000006</v>
      </c>
      <c r="C96" s="511">
        <v>2.2000000000000002</v>
      </c>
      <c r="D96" s="540">
        <v>87.2</v>
      </c>
      <c r="E96" s="511">
        <v>2.2000000000000002</v>
      </c>
      <c r="F96" s="544">
        <v>123.08810756306363</v>
      </c>
      <c r="G96" s="511">
        <v>2.2000000000000002</v>
      </c>
      <c r="H96" s="607">
        <v>128.41926722675981</v>
      </c>
      <c r="I96" s="60"/>
      <c r="J96" s="25"/>
      <c r="K96" s="60"/>
      <c r="L96" s="25"/>
      <c r="M96" s="60"/>
    </row>
    <row r="97" spans="1:13" hidden="1" x14ac:dyDescent="0.2">
      <c r="A97" s="509">
        <v>2.4</v>
      </c>
      <c r="B97" s="511">
        <v>85.9</v>
      </c>
      <c r="C97" s="511">
        <v>2.4</v>
      </c>
      <c r="D97" s="540">
        <v>94.2</v>
      </c>
      <c r="E97" s="511">
        <v>2.4</v>
      </c>
      <c r="F97" s="544">
        <v>133.43821176471033</v>
      </c>
      <c r="G97" s="511">
        <v>2.4</v>
      </c>
      <c r="H97" s="607">
        <v>139.06268235273023</v>
      </c>
      <c r="I97" s="60"/>
      <c r="J97" s="25"/>
      <c r="K97" s="60"/>
      <c r="L97" s="25"/>
      <c r="M97" s="60"/>
    </row>
    <row r="98" spans="1:13" hidden="1" x14ac:dyDescent="0.2">
      <c r="A98" s="509">
        <v>2.6</v>
      </c>
      <c r="B98" s="511">
        <v>92.8</v>
      </c>
      <c r="C98" s="511">
        <v>2.6</v>
      </c>
      <c r="D98" s="511">
        <v>102</v>
      </c>
      <c r="E98" s="511">
        <v>2.6</v>
      </c>
      <c r="F98" s="544">
        <v>144.05741176467907</v>
      </c>
      <c r="G98" s="511">
        <v>2.6</v>
      </c>
      <c r="H98" s="607">
        <v>149.91388235264458</v>
      </c>
      <c r="I98" s="60"/>
      <c r="J98" s="25"/>
      <c r="K98" s="60"/>
      <c r="L98" s="25"/>
      <c r="M98" s="60"/>
    </row>
    <row r="99" spans="1:13" hidden="1" x14ac:dyDescent="0.2">
      <c r="A99" s="509">
        <v>2.8</v>
      </c>
      <c r="B99" s="511">
        <v>100</v>
      </c>
      <c r="C99" s="511">
        <v>2.8</v>
      </c>
      <c r="D99" s="511">
        <v>109</v>
      </c>
      <c r="E99" s="511">
        <v>2.8</v>
      </c>
      <c r="F99" s="544">
        <v>154.92650756297098</v>
      </c>
      <c r="G99" s="511">
        <v>2.8</v>
      </c>
      <c r="H99" s="607">
        <v>160.92166722650305</v>
      </c>
      <c r="I99" s="60"/>
      <c r="J99" s="25"/>
      <c r="K99" s="60"/>
      <c r="L99" s="25"/>
      <c r="M99" s="60"/>
    </row>
    <row r="100" spans="1:13" hidden="1" x14ac:dyDescent="0.2">
      <c r="A100" s="509">
        <v>3</v>
      </c>
      <c r="B100" s="511">
        <v>108</v>
      </c>
      <c r="C100" s="511">
        <v>3</v>
      </c>
      <c r="D100" s="511">
        <v>118</v>
      </c>
      <c r="E100" s="511">
        <v>3</v>
      </c>
      <c r="F100" s="544">
        <v>165.99999999992312</v>
      </c>
      <c r="G100" s="511">
        <v>3</v>
      </c>
      <c r="H100" s="607">
        <v>171.99999999951618</v>
      </c>
      <c r="I100" s="60"/>
      <c r="J100" s="25"/>
      <c r="K100" s="60"/>
      <c r="L100" s="25"/>
      <c r="M100" s="60"/>
    </row>
    <row r="101" spans="1:13" hidden="1" x14ac:dyDescent="0.2">
      <c r="A101" s="509">
        <v>3.2</v>
      </c>
      <c r="B101" s="511">
        <v>116</v>
      </c>
      <c r="C101" s="511">
        <v>3.2</v>
      </c>
      <c r="D101" s="511">
        <v>127</v>
      </c>
      <c r="E101" s="511">
        <v>3.2</v>
      </c>
      <c r="F101" s="544">
        <v>177.20609075620854</v>
      </c>
      <c r="G101" s="511">
        <v>3.2</v>
      </c>
      <c r="H101" s="607">
        <v>183.02800672210395</v>
      </c>
      <c r="I101" s="60"/>
      <c r="J101" s="25"/>
      <c r="K101" s="60"/>
      <c r="L101" s="25"/>
      <c r="M101" s="60"/>
    </row>
    <row r="102" spans="1:13" hidden="1" x14ac:dyDescent="0.2">
      <c r="A102" s="509">
        <v>3.4</v>
      </c>
      <c r="B102" s="511">
        <v>125</v>
      </c>
      <c r="C102" s="511">
        <v>3.4</v>
      </c>
      <c r="D102" s="511">
        <v>138</v>
      </c>
      <c r="E102" s="511">
        <v>3.4</v>
      </c>
      <c r="F102" s="544">
        <v>188.44668235283615</v>
      </c>
      <c r="G102" s="511">
        <v>3.4</v>
      </c>
      <c r="H102" s="607">
        <v>193.84997646989677</v>
      </c>
      <c r="I102" s="60"/>
      <c r="J102" s="25"/>
      <c r="K102" s="60"/>
      <c r="L102" s="25"/>
      <c r="M102" s="60"/>
    </row>
    <row r="103" spans="1:13" hidden="1" x14ac:dyDescent="0.2">
      <c r="A103" s="509">
        <v>3.6</v>
      </c>
      <c r="B103" s="511">
        <v>134</v>
      </c>
      <c r="C103" s="511">
        <v>3.6</v>
      </c>
      <c r="D103" s="511">
        <v>150</v>
      </c>
      <c r="E103" s="511">
        <v>3.6</v>
      </c>
      <c r="F103" s="544">
        <v>199.59737815115076</v>
      </c>
      <c r="G103" s="511">
        <v>3.6</v>
      </c>
      <c r="H103" s="607">
        <v>204.2753613437344</v>
      </c>
      <c r="I103" s="60"/>
      <c r="J103" s="25"/>
      <c r="K103" s="60"/>
      <c r="L103" s="25"/>
      <c r="M103" s="60"/>
    </row>
    <row r="104" spans="1:13" hidden="1" x14ac:dyDescent="0.2">
      <c r="A104" s="509">
        <v>3.8</v>
      </c>
      <c r="B104" s="511">
        <v>142</v>
      </c>
      <c r="C104" s="511">
        <v>3.8</v>
      </c>
      <c r="D104" s="511">
        <v>164</v>
      </c>
      <c r="E104" s="511">
        <v>3.8</v>
      </c>
      <c r="F104" s="544">
        <v>210.50748235283302</v>
      </c>
      <c r="G104" s="511">
        <v>3.8</v>
      </c>
      <c r="H104" s="607">
        <v>214.07877646966691</v>
      </c>
      <c r="I104" s="60"/>
      <c r="J104" s="25"/>
      <c r="K104" s="60"/>
      <c r="L104" s="25"/>
      <c r="M104" s="60"/>
    </row>
    <row r="105" spans="1:13" ht="13.5" hidden="1" thickBot="1" x14ac:dyDescent="0.25">
      <c r="A105" s="510">
        <v>4</v>
      </c>
      <c r="B105" s="534">
        <v>151</v>
      </c>
      <c r="C105" s="534">
        <v>4</v>
      </c>
      <c r="D105" s="534">
        <v>179</v>
      </c>
      <c r="E105" s="534">
        <v>4</v>
      </c>
      <c r="F105" s="543">
        <v>220.99999999989984</v>
      </c>
      <c r="G105" s="534">
        <v>4</v>
      </c>
      <c r="H105" s="608">
        <v>222.99999999895437</v>
      </c>
      <c r="I105" s="60"/>
      <c r="J105" s="25"/>
      <c r="K105" s="60"/>
      <c r="L105" s="25"/>
      <c r="M105" s="60"/>
    </row>
    <row r="106" spans="1:13" ht="14.25" hidden="1" thickTop="1" thickBot="1" x14ac:dyDescent="0.25"/>
    <row r="107" spans="1:13" ht="13.5" hidden="1" thickTop="1" x14ac:dyDescent="0.2">
      <c r="A107" s="932" t="s">
        <v>701</v>
      </c>
      <c r="B107" s="930"/>
      <c r="C107" s="930" t="s">
        <v>700</v>
      </c>
      <c r="D107" s="931"/>
    </row>
    <row r="108" spans="1:13" hidden="1" x14ac:dyDescent="0.2">
      <c r="A108" s="509" t="s">
        <v>678</v>
      </c>
      <c r="B108" s="511" t="s">
        <v>649</v>
      </c>
      <c r="C108" s="511" t="s">
        <v>678</v>
      </c>
      <c r="D108" s="508" t="s">
        <v>649</v>
      </c>
    </row>
    <row r="109" spans="1:13" hidden="1" x14ac:dyDescent="0.2">
      <c r="A109" s="509">
        <v>0.6</v>
      </c>
      <c r="B109" s="540">
        <v>60.800000000240928</v>
      </c>
      <c r="C109" s="511">
        <v>0.6</v>
      </c>
      <c r="D109" s="539">
        <v>59.800000000244729</v>
      </c>
    </row>
    <row r="110" spans="1:13" hidden="1" x14ac:dyDescent="0.2">
      <c r="A110" s="509">
        <v>0.8</v>
      </c>
      <c r="B110" s="540">
        <v>77.037620168308479</v>
      </c>
      <c r="C110" s="511">
        <v>0.8</v>
      </c>
      <c r="D110" s="539">
        <v>76.107442017056627</v>
      </c>
    </row>
    <row r="111" spans="1:13" hidden="1" x14ac:dyDescent="0.2">
      <c r="A111" s="509">
        <v>1</v>
      </c>
      <c r="B111" s="540">
        <v>92.300000000221075</v>
      </c>
      <c r="C111" s="511">
        <v>1</v>
      </c>
      <c r="D111" s="539">
        <v>91.600000000238239</v>
      </c>
    </row>
    <row r="112" spans="1:13" hidden="1" x14ac:dyDescent="0.2">
      <c r="A112" s="509">
        <v>1.2</v>
      </c>
      <c r="B112" s="537">
        <v>106.78851764724126</v>
      </c>
      <c r="C112" s="511">
        <v>1.2</v>
      </c>
      <c r="D112" s="536">
        <v>106.41421176491637</v>
      </c>
    </row>
    <row r="113" spans="1:12" hidden="1" x14ac:dyDescent="0.2">
      <c r="A113" s="509">
        <v>1.4</v>
      </c>
      <c r="B113" s="537">
        <v>120.67507899172385</v>
      </c>
      <c r="C113" s="511">
        <v>1.4</v>
      </c>
      <c r="D113" s="536">
        <v>120.66894789932691</v>
      </c>
    </row>
    <row r="114" spans="1:12" hidden="1" x14ac:dyDescent="0.2">
      <c r="A114" s="509">
        <v>1.6</v>
      </c>
      <c r="B114" s="537">
        <v>134.10211764711596</v>
      </c>
      <c r="C114" s="511">
        <v>1.6</v>
      </c>
      <c r="D114" s="536">
        <v>134.46541176481492</v>
      </c>
    </row>
    <row r="115" spans="1:12" hidden="1" x14ac:dyDescent="0.2">
      <c r="A115" s="509">
        <v>1.8</v>
      </c>
      <c r="B115" s="537">
        <v>147.18259495795701</v>
      </c>
      <c r="C115" s="511">
        <v>1.8</v>
      </c>
      <c r="D115" s="536">
        <v>147.88713949583445</v>
      </c>
    </row>
    <row r="116" spans="1:12" hidden="1" x14ac:dyDescent="0.2">
      <c r="A116" s="509">
        <v>2</v>
      </c>
      <c r="B116" s="537">
        <v>159.99999999987853</v>
      </c>
      <c r="C116" s="511">
        <v>2</v>
      </c>
      <c r="D116" s="536">
        <v>160.99999999994878</v>
      </c>
    </row>
    <row r="117" spans="1:12" hidden="1" x14ac:dyDescent="0.2">
      <c r="A117" s="509">
        <v>2.2000000000000002</v>
      </c>
      <c r="B117" s="537">
        <v>172.60834957960452</v>
      </c>
      <c r="C117" s="511">
        <v>2.2000000000000002</v>
      </c>
      <c r="D117" s="536">
        <v>173.85219495783022</v>
      </c>
    </row>
    <row r="118" spans="1:12" hidden="1" x14ac:dyDescent="0.2">
      <c r="A118" s="509">
        <v>2.4</v>
      </c>
      <c r="B118" s="537">
        <v>185.03218823495118</v>
      </c>
      <c r="C118" s="511">
        <v>2.4</v>
      </c>
      <c r="D118" s="536">
        <v>186.47425882326019</v>
      </c>
    </row>
    <row r="119" spans="1:12" hidden="1" x14ac:dyDescent="0.2">
      <c r="A119" s="509">
        <v>2.6</v>
      </c>
      <c r="B119" s="537">
        <v>197.26658823482694</v>
      </c>
      <c r="C119" s="511">
        <v>2.6</v>
      </c>
      <c r="D119" s="536">
        <v>198.87905882312924</v>
      </c>
    </row>
    <row r="120" spans="1:12" hidden="1" x14ac:dyDescent="0.2">
      <c r="A120" s="509">
        <v>2.8</v>
      </c>
      <c r="B120" s="537">
        <v>209.27714957923263</v>
      </c>
      <c r="C120" s="511">
        <v>2.8</v>
      </c>
      <c r="D120" s="536">
        <v>211.06179495743703</v>
      </c>
    </row>
    <row r="121" spans="1:12" hidden="1" x14ac:dyDescent="0.2">
      <c r="A121" s="509">
        <v>3</v>
      </c>
      <c r="B121" s="537">
        <v>220.99999999926118</v>
      </c>
      <c r="C121" s="511">
        <v>3</v>
      </c>
      <c r="D121" s="536">
        <v>222.99999999929238</v>
      </c>
    </row>
    <row r="122" spans="1:12" hidden="1" x14ac:dyDescent="0.2">
      <c r="A122" s="509">
        <v>3.2</v>
      </c>
      <c r="B122" s="537">
        <v>232.34179495709787</v>
      </c>
      <c r="C122" s="511">
        <v>3.2</v>
      </c>
      <c r="D122" s="536">
        <v>234.6535394949131</v>
      </c>
    </row>
    <row r="123" spans="1:12" hidden="1" x14ac:dyDescent="0.2">
      <c r="A123" s="509">
        <v>3.4</v>
      </c>
      <c r="B123" s="537">
        <v>243.17971764602041</v>
      </c>
      <c r="C123" s="511">
        <v>3.4</v>
      </c>
      <c r="D123" s="536">
        <v>245.96461176362612</v>
      </c>
    </row>
    <row r="124" spans="1:12" hidden="1" x14ac:dyDescent="0.2">
      <c r="A124" s="509">
        <v>3.6</v>
      </c>
      <c r="B124" s="537">
        <v>253.36147899039852</v>
      </c>
      <c r="C124" s="511">
        <v>3.6</v>
      </c>
      <c r="D124" s="536">
        <v>256.85774789786757</v>
      </c>
    </row>
    <row r="125" spans="1:12" hidden="1" x14ac:dyDescent="0.2">
      <c r="A125" s="509">
        <v>3.8</v>
      </c>
      <c r="B125" s="537">
        <v>262.70531764569415</v>
      </c>
      <c r="C125" s="511">
        <v>3.8</v>
      </c>
      <c r="D125" s="536">
        <v>267.23981176318256</v>
      </c>
    </row>
    <row r="126" spans="1:12" ht="13.5" hidden="1" thickBot="1" x14ac:dyDescent="0.25">
      <c r="A126" s="510">
        <v>4</v>
      </c>
      <c r="B126" s="535">
        <v>270.99999999846216</v>
      </c>
      <c r="C126" s="534">
        <v>4</v>
      </c>
      <c r="D126" s="533">
        <v>276.99999999822552</v>
      </c>
    </row>
    <row r="127" spans="1:12" ht="14.25" hidden="1" thickTop="1" thickBot="1" x14ac:dyDescent="0.25"/>
    <row r="128" spans="1:12" ht="13.5" hidden="1" thickTop="1" x14ac:dyDescent="0.2">
      <c r="A128" s="932" t="s">
        <v>699</v>
      </c>
      <c r="B128" s="930"/>
      <c r="C128" s="930" t="s">
        <v>698</v>
      </c>
      <c r="D128" s="930"/>
      <c r="E128" s="538" t="s">
        <v>697</v>
      </c>
      <c r="F128" s="538"/>
      <c r="G128" s="538" t="s">
        <v>696</v>
      </c>
      <c r="H128" s="538"/>
      <c r="I128" s="930" t="s">
        <v>695</v>
      </c>
      <c r="J128" s="930"/>
      <c r="K128" s="930" t="s">
        <v>694</v>
      </c>
      <c r="L128" s="931"/>
    </row>
    <row r="129" spans="1:12" hidden="1" x14ac:dyDescent="0.2">
      <c r="A129" s="509" t="s">
        <v>678</v>
      </c>
      <c r="B129" s="511" t="s">
        <v>649</v>
      </c>
      <c r="C129" s="511" t="s">
        <v>678</v>
      </c>
      <c r="D129" s="511" t="s">
        <v>649</v>
      </c>
      <c r="E129" s="511" t="s">
        <v>678</v>
      </c>
      <c r="F129" s="511" t="s">
        <v>649</v>
      </c>
      <c r="G129" s="511" t="s">
        <v>678</v>
      </c>
      <c r="H129" s="511" t="s">
        <v>649</v>
      </c>
      <c r="I129" s="511" t="s">
        <v>678</v>
      </c>
      <c r="J129" s="511" t="s">
        <v>649</v>
      </c>
      <c r="K129" s="511" t="s">
        <v>678</v>
      </c>
      <c r="L129" s="508" t="s">
        <v>649</v>
      </c>
    </row>
    <row r="130" spans="1:12" hidden="1" x14ac:dyDescent="0.2">
      <c r="A130" s="509">
        <v>1</v>
      </c>
      <c r="B130" s="537">
        <v>242.99999999997232</v>
      </c>
      <c r="C130" s="511">
        <v>1</v>
      </c>
      <c r="D130" s="537">
        <v>244.9999999999701</v>
      </c>
      <c r="E130" s="511">
        <v>1</v>
      </c>
      <c r="F130" s="537">
        <v>407.99999999994941</v>
      </c>
      <c r="G130" s="511">
        <v>1</v>
      </c>
      <c r="H130" s="537">
        <v>428</v>
      </c>
      <c r="I130" s="511">
        <v>1</v>
      </c>
      <c r="J130" s="537">
        <v>386.99999999995072</v>
      </c>
      <c r="K130" s="511">
        <v>1</v>
      </c>
      <c r="L130" s="536">
        <v>396.99999999994805</v>
      </c>
    </row>
    <row r="131" spans="1:12" hidden="1" x14ac:dyDescent="0.2">
      <c r="A131" s="509">
        <v>1.2</v>
      </c>
      <c r="B131" s="537">
        <v>261.36799999997339</v>
      </c>
      <c r="C131" s="511">
        <v>1.2</v>
      </c>
      <c r="D131" s="537">
        <v>264.51999999997361</v>
      </c>
      <c r="E131" s="511">
        <v>1.2</v>
      </c>
      <c r="F131" s="537">
        <v>417.82399999995454</v>
      </c>
      <c r="G131" s="511">
        <v>1.2</v>
      </c>
      <c r="H131" s="537">
        <v>442</v>
      </c>
      <c r="I131" s="511">
        <v>1.2</v>
      </c>
      <c r="J131" s="537">
        <v>419.4639999999535</v>
      </c>
      <c r="K131" s="511">
        <v>1.2</v>
      </c>
      <c r="L131" s="536">
        <v>429.431999999955</v>
      </c>
    </row>
    <row r="132" spans="1:12" hidden="1" x14ac:dyDescent="0.2">
      <c r="A132" s="509">
        <v>1.4</v>
      </c>
      <c r="B132" s="537">
        <v>275.66399999997441</v>
      </c>
      <c r="C132" s="511">
        <v>1.4</v>
      </c>
      <c r="D132" s="537">
        <v>279.51999999997656</v>
      </c>
      <c r="E132" s="511">
        <v>1.4</v>
      </c>
      <c r="F132" s="537">
        <v>431.51199999995856</v>
      </c>
      <c r="G132" s="511">
        <v>1.4</v>
      </c>
      <c r="H132" s="537">
        <v>456</v>
      </c>
      <c r="I132" s="511">
        <v>1.4</v>
      </c>
      <c r="J132" s="537">
        <v>446.67199999995518</v>
      </c>
      <c r="K132" s="511">
        <v>1.4</v>
      </c>
      <c r="L132" s="536">
        <v>457.29599999996015</v>
      </c>
    </row>
    <row r="133" spans="1:12" hidden="1" x14ac:dyDescent="0.2">
      <c r="A133" s="509">
        <v>1.6</v>
      </c>
      <c r="B133" s="537">
        <v>286.57599999997547</v>
      </c>
      <c r="C133" s="511">
        <v>1.6</v>
      </c>
      <c r="D133" s="537">
        <v>290.75999999997902</v>
      </c>
      <c r="E133" s="511">
        <v>1.6</v>
      </c>
      <c r="F133" s="537">
        <v>448.4879999999614</v>
      </c>
      <c r="G133" s="511">
        <v>1.6</v>
      </c>
      <c r="H133" s="537">
        <v>470</v>
      </c>
      <c r="I133" s="511">
        <v>1.6</v>
      </c>
      <c r="J133" s="537">
        <v>469.44799999995604</v>
      </c>
      <c r="K133" s="511">
        <v>1.6</v>
      </c>
      <c r="L133" s="536">
        <v>481.34399999996356</v>
      </c>
    </row>
    <row r="134" spans="1:12" hidden="1" x14ac:dyDescent="0.2">
      <c r="A134" s="509">
        <v>1.8</v>
      </c>
      <c r="B134" s="537">
        <v>294.79199999997638</v>
      </c>
      <c r="C134" s="511">
        <v>1.8</v>
      </c>
      <c r="D134" s="537">
        <v>298.99999999998101</v>
      </c>
      <c r="E134" s="511">
        <v>1.8</v>
      </c>
      <c r="F134" s="537">
        <v>468.1759999999631</v>
      </c>
      <c r="G134" s="511">
        <v>1.8</v>
      </c>
      <c r="H134" s="537">
        <v>484</v>
      </c>
      <c r="I134" s="511">
        <v>1.8</v>
      </c>
      <c r="J134" s="537">
        <v>488.61599999995622</v>
      </c>
      <c r="K134" s="511">
        <v>1.8</v>
      </c>
      <c r="L134" s="536">
        <v>502.32799999996507</v>
      </c>
    </row>
    <row r="135" spans="1:12" hidden="1" x14ac:dyDescent="0.2">
      <c r="A135" s="509">
        <v>2</v>
      </c>
      <c r="B135" s="537">
        <v>300.99999999997732</v>
      </c>
      <c r="C135" s="511">
        <v>2</v>
      </c>
      <c r="D135" s="537">
        <v>304.99999999998244</v>
      </c>
      <c r="E135" s="511">
        <v>2</v>
      </c>
      <c r="F135" s="537">
        <v>489.99999999996362</v>
      </c>
      <c r="G135" s="511">
        <v>2</v>
      </c>
      <c r="H135" s="537">
        <v>498.00000000000125</v>
      </c>
      <c r="I135" s="511">
        <v>2</v>
      </c>
      <c r="J135" s="537">
        <v>504.99999999995561</v>
      </c>
      <c r="K135" s="511">
        <v>2</v>
      </c>
      <c r="L135" s="536">
        <v>520.99999999996476</v>
      </c>
    </row>
    <row r="136" spans="1:12" hidden="1" x14ac:dyDescent="0.2">
      <c r="A136" s="509">
        <v>2.2000000000000002</v>
      </c>
      <c r="B136" s="537">
        <v>305.88799999997815</v>
      </c>
      <c r="C136" s="511">
        <v>2.2000000000000002</v>
      </c>
      <c r="D136" s="537">
        <v>309.51999999998344</v>
      </c>
      <c r="E136" s="511">
        <v>2.2000000000000002</v>
      </c>
      <c r="F136" s="537">
        <v>513.38399999996295</v>
      </c>
      <c r="G136" s="511">
        <v>2.2000000000000002</v>
      </c>
      <c r="H136" s="537">
        <v>533.44000000000108</v>
      </c>
      <c r="I136" s="511">
        <v>2.2000000000000002</v>
      </c>
      <c r="J136" s="537">
        <v>519.42399999995473</v>
      </c>
      <c r="K136" s="511">
        <v>2.2000000000000002</v>
      </c>
      <c r="L136" s="536">
        <v>538.11199999996256</v>
      </c>
    </row>
    <row r="137" spans="1:12" hidden="1" x14ac:dyDescent="0.2">
      <c r="A137" s="509">
        <v>2.4</v>
      </c>
      <c r="B137" s="537">
        <v>310.14399999997886</v>
      </c>
      <c r="C137" s="511">
        <v>2.4</v>
      </c>
      <c r="D137" s="537">
        <v>313.31999999998396</v>
      </c>
      <c r="E137" s="511">
        <v>2.4</v>
      </c>
      <c r="F137" s="537">
        <v>537.75199999996107</v>
      </c>
      <c r="G137" s="511">
        <v>2.4</v>
      </c>
      <c r="H137" s="537">
        <v>566.56000000000085</v>
      </c>
      <c r="I137" s="511">
        <v>2.4</v>
      </c>
      <c r="J137" s="537">
        <v>532.71199999995338</v>
      </c>
      <c r="K137" s="511">
        <v>2.4</v>
      </c>
      <c r="L137" s="536">
        <v>554.41599999995856</v>
      </c>
    </row>
    <row r="138" spans="1:12" hidden="1" x14ac:dyDescent="0.2">
      <c r="A138" s="509">
        <v>2.6</v>
      </c>
      <c r="B138" s="537">
        <v>314.45599999997944</v>
      </c>
      <c r="C138" s="511">
        <v>2.6</v>
      </c>
      <c r="D138" s="537">
        <v>317.15999999998417</v>
      </c>
      <c r="E138" s="511">
        <v>2.6</v>
      </c>
      <c r="F138" s="537">
        <v>562.52799999995818</v>
      </c>
      <c r="G138" s="511">
        <v>2.6</v>
      </c>
      <c r="H138" s="537">
        <v>597.36000000000081</v>
      </c>
      <c r="I138" s="511">
        <v>2.6</v>
      </c>
      <c r="J138" s="537">
        <v>545.6879999999519</v>
      </c>
      <c r="K138" s="511">
        <v>2.6</v>
      </c>
      <c r="L138" s="536">
        <v>570.66399999995247</v>
      </c>
    </row>
    <row r="139" spans="1:12" hidden="1" x14ac:dyDescent="0.2">
      <c r="A139" s="509">
        <v>2.8</v>
      </c>
      <c r="B139" s="537">
        <v>319.51199999997993</v>
      </c>
      <c r="C139" s="511">
        <v>2.8</v>
      </c>
      <c r="D139" s="537">
        <v>321.7999999999841</v>
      </c>
      <c r="E139" s="511">
        <v>2.8</v>
      </c>
      <c r="F139" s="537">
        <v>587.13599999995404</v>
      </c>
      <c r="G139" s="511">
        <v>2.8</v>
      </c>
      <c r="H139" s="537">
        <v>625.84000000000071</v>
      </c>
      <c r="I139" s="511">
        <v>2.8</v>
      </c>
      <c r="J139" s="537">
        <v>559.17599999995025</v>
      </c>
      <c r="K139" s="511">
        <v>2.8</v>
      </c>
      <c r="L139" s="536">
        <v>587.60799999994458</v>
      </c>
    </row>
    <row r="140" spans="1:12" hidden="1" x14ac:dyDescent="0.2">
      <c r="A140" s="509">
        <v>3</v>
      </c>
      <c r="B140" s="537">
        <v>325.99999999998028</v>
      </c>
      <c r="C140" s="511">
        <v>3</v>
      </c>
      <c r="D140" s="537">
        <v>327.99999999998346</v>
      </c>
      <c r="E140" s="511">
        <v>3</v>
      </c>
      <c r="F140" s="537">
        <v>610.99999999994861</v>
      </c>
      <c r="G140" s="511">
        <v>3</v>
      </c>
      <c r="H140" s="537">
        <v>652.0000000000008</v>
      </c>
      <c r="I140" s="511">
        <v>3</v>
      </c>
      <c r="J140" s="537">
        <v>573.99999999994895</v>
      </c>
      <c r="K140" s="511">
        <v>3</v>
      </c>
      <c r="L140" s="536">
        <v>605.99999999993463</v>
      </c>
    </row>
    <row r="141" spans="1:12" hidden="1" x14ac:dyDescent="0.2">
      <c r="A141" s="509">
        <v>3.2</v>
      </c>
      <c r="B141" s="537">
        <v>334.60799999998056</v>
      </c>
      <c r="C141" s="511">
        <v>3.2</v>
      </c>
      <c r="D141" s="537">
        <v>336.51999999998264</v>
      </c>
      <c r="E141" s="511">
        <v>3.2</v>
      </c>
      <c r="F141" s="537">
        <v>633.54399999994212</v>
      </c>
      <c r="G141" s="511">
        <v>3.2</v>
      </c>
      <c r="H141" s="537">
        <v>675.84000000000094</v>
      </c>
      <c r="I141" s="511">
        <v>3.2</v>
      </c>
      <c r="J141" s="537">
        <v>590.98399999994774</v>
      </c>
      <c r="K141" s="511">
        <v>3.2</v>
      </c>
      <c r="L141" s="536">
        <v>626.59199999992279</v>
      </c>
    </row>
    <row r="142" spans="1:12" hidden="1" x14ac:dyDescent="0.2">
      <c r="A142" s="509">
        <v>3.4</v>
      </c>
      <c r="B142" s="537">
        <v>346.02399999998062</v>
      </c>
      <c r="C142" s="511">
        <v>3.4</v>
      </c>
      <c r="D142" s="537">
        <v>348.11999999998164</v>
      </c>
      <c r="E142" s="511">
        <v>3.4</v>
      </c>
      <c r="F142" s="537">
        <v>654.1919999999343</v>
      </c>
      <c r="G142" s="511">
        <v>3.4</v>
      </c>
      <c r="H142" s="537">
        <v>697.36000000000115</v>
      </c>
      <c r="I142" s="511">
        <v>3.4</v>
      </c>
      <c r="J142" s="537">
        <v>610.95199999994702</v>
      </c>
      <c r="K142" s="511">
        <v>3.4</v>
      </c>
      <c r="L142" s="536">
        <v>650.13599999990868</v>
      </c>
    </row>
    <row r="143" spans="1:12" hidden="1" x14ac:dyDescent="0.2">
      <c r="A143" s="509">
        <v>3.6</v>
      </c>
      <c r="B143" s="537">
        <v>360.93599999998031</v>
      </c>
      <c r="C143" s="511">
        <v>3.6</v>
      </c>
      <c r="D143" s="537">
        <v>363.55999999998033</v>
      </c>
      <c r="E143" s="511">
        <v>3.6</v>
      </c>
      <c r="F143" s="537">
        <v>672.36799999992559</v>
      </c>
      <c r="G143" s="511">
        <v>3.6</v>
      </c>
      <c r="H143" s="537">
        <v>716.56000000000154</v>
      </c>
      <c r="I143" s="511">
        <v>3.6</v>
      </c>
      <c r="J143" s="537">
        <v>634.72799999994697</v>
      </c>
      <c r="K143" s="511">
        <v>3.6</v>
      </c>
      <c r="L143" s="536">
        <v>677.38399999989281</v>
      </c>
    </row>
    <row r="144" spans="1:12" hidden="1" x14ac:dyDescent="0.2">
      <c r="A144" s="509">
        <v>3.8</v>
      </c>
      <c r="B144" s="537">
        <v>380.03199999997986</v>
      </c>
      <c r="C144" s="511">
        <v>3.8</v>
      </c>
      <c r="D144" s="537">
        <v>383.59999999997848</v>
      </c>
      <c r="E144" s="511">
        <v>3.8</v>
      </c>
      <c r="F144" s="537">
        <v>687.49599999991563</v>
      </c>
      <c r="G144" s="511">
        <v>3.8</v>
      </c>
      <c r="H144" s="537">
        <v>733.44000000000165</v>
      </c>
      <c r="I144" s="511">
        <v>3.8</v>
      </c>
      <c r="J144" s="537">
        <v>663.13599999994722</v>
      </c>
      <c r="K144" s="511">
        <v>3.8</v>
      </c>
      <c r="L144" s="536">
        <v>709.08799999987457</v>
      </c>
    </row>
    <row r="145" spans="1:12" ht="13.5" hidden="1" thickBot="1" x14ac:dyDescent="0.25">
      <c r="A145" s="510">
        <v>4</v>
      </c>
      <c r="B145" s="535">
        <v>403.99999999997925</v>
      </c>
      <c r="C145" s="534">
        <v>4</v>
      </c>
      <c r="D145" s="535">
        <v>408.99999999997686</v>
      </c>
      <c r="E145" s="534">
        <v>4</v>
      </c>
      <c r="F145" s="535">
        <v>698.9999999999045</v>
      </c>
      <c r="G145" s="534">
        <v>4</v>
      </c>
      <c r="H145" s="535">
        <v>748.00000000000205</v>
      </c>
      <c r="I145" s="534">
        <v>4</v>
      </c>
      <c r="J145" s="535">
        <v>696.99999999994873</v>
      </c>
      <c r="K145" s="534">
        <v>4</v>
      </c>
      <c r="L145" s="533">
        <v>745.99999999985437</v>
      </c>
    </row>
  </sheetData>
  <sheetProtection sheet="1" selectLockedCells="1"/>
  <mergeCells count="30">
    <mergeCell ref="K128:L128"/>
    <mergeCell ref="I128:J128"/>
    <mergeCell ref="A128:B128"/>
    <mergeCell ref="C128:D128"/>
    <mergeCell ref="A107:B107"/>
    <mergeCell ref="C107:D107"/>
    <mergeCell ref="M44:N44"/>
    <mergeCell ref="I65:J65"/>
    <mergeCell ref="K65:L65"/>
    <mergeCell ref="M65:N65"/>
    <mergeCell ref="A1:H1"/>
    <mergeCell ref="A2:H2"/>
    <mergeCell ref="A14:A15"/>
    <mergeCell ref="K44:L44"/>
    <mergeCell ref="C44:D44"/>
    <mergeCell ref="A44:B44"/>
    <mergeCell ref="E44:F44"/>
    <mergeCell ref="G44:H44"/>
    <mergeCell ref="I44:J44"/>
    <mergeCell ref="O65:P65"/>
    <mergeCell ref="A65:B65"/>
    <mergeCell ref="A86:B86"/>
    <mergeCell ref="C86:D86"/>
    <mergeCell ref="E86:F86"/>
    <mergeCell ref="G86:H86"/>
    <mergeCell ref="G65:H65"/>
    <mergeCell ref="I86:J86"/>
    <mergeCell ref="K86:L86"/>
    <mergeCell ref="C65:D65"/>
    <mergeCell ref="E65:F65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2D1E-FB45-4220-9BBA-B8EF14363AE1}">
  <dimension ref="A1:P78"/>
  <sheetViews>
    <sheetView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8" width="12.7109375" style="331" customWidth="1"/>
    <col min="19" max="16384" width="11.42578125" style="331"/>
  </cols>
  <sheetData>
    <row r="1" spans="1:9" ht="21" thickTop="1" x14ac:dyDescent="0.3">
      <c r="A1" s="873" t="s">
        <v>724</v>
      </c>
      <c r="B1" s="874"/>
      <c r="C1" s="874"/>
      <c r="D1" s="874"/>
      <c r="E1" s="874"/>
      <c r="F1" s="874"/>
      <c r="G1" s="874"/>
      <c r="H1" s="874"/>
      <c r="I1" s="875"/>
    </row>
    <row r="2" spans="1:9" ht="21" thickBot="1" x14ac:dyDescent="0.35">
      <c r="A2" s="896" t="s">
        <v>680</v>
      </c>
      <c r="B2" s="897"/>
      <c r="C2" s="897"/>
      <c r="D2" s="897"/>
      <c r="E2" s="897"/>
      <c r="F2" s="897"/>
      <c r="G2" s="897"/>
      <c r="H2" s="897"/>
      <c r="I2" s="898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0" t="s">
        <v>681</v>
      </c>
      <c r="C5" s="339">
        <v>100</v>
      </c>
      <c r="D5" s="561" t="s">
        <v>725</v>
      </c>
      <c r="E5" s="556"/>
      <c r="F5" s="556"/>
      <c r="G5" s="556"/>
      <c r="H5" s="556"/>
      <c r="I5" s="558"/>
    </row>
    <row r="6" spans="1:9" x14ac:dyDescent="0.2">
      <c r="A6" s="559"/>
      <c r="B6" s="562" t="s">
        <v>683</v>
      </c>
      <c r="C6" s="339">
        <v>4</v>
      </c>
      <c r="D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56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16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16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16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16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16" ht="38.25" customHeight="1" thickTop="1" x14ac:dyDescent="0.2">
      <c r="A21" s="350" t="s">
        <v>300</v>
      </c>
      <c r="B21" s="945" t="s">
        <v>670</v>
      </c>
      <c r="C21" s="945"/>
      <c r="D21" s="946" t="s">
        <v>726</v>
      </c>
      <c r="E21" s="947"/>
      <c r="F21" s="556"/>
      <c r="G21" s="556"/>
      <c r="H21" s="556"/>
      <c r="I21" s="558"/>
    </row>
    <row r="22" spans="1:16" x14ac:dyDescent="0.2">
      <c r="A22" s="565">
        <v>15</v>
      </c>
      <c r="B22" s="938">
        <v>6.8</v>
      </c>
      <c r="C22" s="938"/>
      <c r="D22" s="939">
        <f>IF($C$6&lt;0,"NOT POSSIBLE",IF($C$6&gt;4,"NOT POSSIBLE",((VLOOKUP($C$6,$A$32:$M$77,2)))*(($C$5/100)^0.5)*1000))</f>
        <v>6800</v>
      </c>
      <c r="E22" s="940"/>
      <c r="F22" s="556"/>
      <c r="G22" s="556"/>
      <c r="H22" s="556"/>
      <c r="I22" s="558"/>
    </row>
    <row r="23" spans="1:16" x14ac:dyDescent="0.2">
      <c r="A23" s="566">
        <v>20</v>
      </c>
      <c r="B23" s="944">
        <v>9.9</v>
      </c>
      <c r="C23" s="944"/>
      <c r="D23" s="939">
        <f>IF($C$6&lt;0,"NOT POSSIBLE",IF($C$6&gt;4,"NOT POSSIBLE",((VLOOKUP($C$6,$A$32:$M$77,4)))*(($C$5/100)^0.5)*1000))</f>
        <v>9880</v>
      </c>
      <c r="E23" s="940"/>
      <c r="F23" s="556"/>
      <c r="G23" s="556"/>
      <c r="H23" s="556"/>
      <c r="I23" s="558"/>
    </row>
    <row r="24" spans="1:16" x14ac:dyDescent="0.2">
      <c r="A24" s="565">
        <v>25</v>
      </c>
      <c r="B24" s="938">
        <v>31.8</v>
      </c>
      <c r="C24" s="938"/>
      <c r="D24" s="939">
        <f>IF($C$6&lt;0,"NOT POSSIBLE",IF($C$6&gt;4,"NOT POSSIBLE",((VLOOKUP($C$6,$A$32:$M$77,6)))*(($C$5/100)^0.5)*1000))</f>
        <v>31790</v>
      </c>
      <c r="E24" s="940"/>
      <c r="F24" s="556"/>
      <c r="G24" s="556"/>
      <c r="H24" s="556"/>
      <c r="I24" s="558"/>
    </row>
    <row r="25" spans="1:16" x14ac:dyDescent="0.2">
      <c r="A25" s="566">
        <v>32</v>
      </c>
      <c r="B25" s="944">
        <v>23</v>
      </c>
      <c r="C25" s="944"/>
      <c r="D25" s="939">
        <f>IF($C$6&lt;0,"NOT POSSIBLE",IF($C$6&gt;4,"NOT POSSIBLE",((VLOOKUP($C$6,$A$32:$M$77,8)))*(($C$5/100)^0.5)*1000))</f>
        <v>23010</v>
      </c>
      <c r="E25" s="940"/>
      <c r="F25" s="556"/>
      <c r="G25" s="556"/>
      <c r="H25" s="556"/>
      <c r="I25" s="558"/>
    </row>
    <row r="26" spans="1:16" x14ac:dyDescent="0.2">
      <c r="A26" s="565">
        <v>40</v>
      </c>
      <c r="B26" s="938">
        <v>40</v>
      </c>
      <c r="C26" s="938"/>
      <c r="D26" s="939">
        <f>IF($C$6&lt;0,"NOT POSSIBLE",IF($C$6&gt;4,"NOT POSSIBLE",((VLOOKUP($C$6,$A$32:$M$77,10)))*(($C$5/100)^0.5)*1000))</f>
        <v>39950</v>
      </c>
      <c r="E26" s="940"/>
      <c r="F26" s="556"/>
      <c r="G26" s="556"/>
      <c r="H26" s="556"/>
      <c r="I26" s="558"/>
    </row>
    <row r="27" spans="1:16" ht="13.5" thickBot="1" x14ac:dyDescent="0.25">
      <c r="A27" s="567">
        <v>50</v>
      </c>
      <c r="B27" s="941">
        <v>49.7</v>
      </c>
      <c r="C27" s="941"/>
      <c r="D27" s="942">
        <f>IF($C$6&lt;0,"NOT POSSIBLE",IF($C$6&gt;4.5,"NOT POSSIBLE",((VLOOKUP($C$6,$A$32:$M$77,12)))*(($C$5/100)^0.5)*1000))</f>
        <v>42700</v>
      </c>
      <c r="E27" s="943"/>
      <c r="F27" s="568"/>
      <c r="G27" s="568"/>
      <c r="H27" s="568"/>
      <c r="I27" s="569"/>
    </row>
    <row r="28" spans="1:16" ht="13.5" thickTop="1" x14ac:dyDescent="0.2">
      <c r="A28" s="570"/>
      <c r="B28" s="570"/>
      <c r="D28" s="337"/>
      <c r="E28" s="337"/>
      <c r="F28" s="337"/>
    </row>
    <row r="29" spans="1:16" ht="13.5" hidden="1" thickBot="1" x14ac:dyDescent="0.25"/>
    <row r="30" spans="1:16" ht="13.5" hidden="1" thickTop="1" x14ac:dyDescent="0.2">
      <c r="A30" s="571"/>
      <c r="B30" s="933" t="s">
        <v>648</v>
      </c>
      <c r="C30" s="934"/>
      <c r="D30" s="935" t="s">
        <v>38</v>
      </c>
      <c r="E30" s="936"/>
      <c r="F30" s="933" t="s">
        <v>39</v>
      </c>
      <c r="G30" s="934"/>
      <c r="H30" s="935" t="s">
        <v>40</v>
      </c>
      <c r="I30" s="936"/>
      <c r="J30" s="933" t="s">
        <v>41</v>
      </c>
      <c r="K30" s="934"/>
      <c r="L30" s="935" t="s">
        <v>42</v>
      </c>
      <c r="M30" s="937"/>
    </row>
    <row r="31" spans="1:16" hidden="1" x14ac:dyDescent="0.2">
      <c r="A31" s="572" t="s">
        <v>651</v>
      </c>
      <c r="B31" s="573" t="s">
        <v>649</v>
      </c>
      <c r="C31" s="573" t="s">
        <v>650</v>
      </c>
      <c r="D31" s="574" t="s">
        <v>649</v>
      </c>
      <c r="E31" s="574" t="s">
        <v>650</v>
      </c>
      <c r="F31" s="573" t="s">
        <v>649</v>
      </c>
      <c r="G31" s="573" t="s">
        <v>650</v>
      </c>
      <c r="H31" s="574" t="s">
        <v>649</v>
      </c>
      <c r="I31" s="574" t="s">
        <v>650</v>
      </c>
      <c r="J31" s="573" t="s">
        <v>651</v>
      </c>
      <c r="K31" s="573" t="s">
        <v>649</v>
      </c>
      <c r="L31" s="574" t="s">
        <v>649</v>
      </c>
      <c r="M31" s="575" t="s">
        <v>650</v>
      </c>
      <c r="P31" s="576"/>
    </row>
    <row r="32" spans="1:16" ht="14.25" hidden="1" x14ac:dyDescent="0.2">
      <c r="A32" s="572">
        <v>0</v>
      </c>
      <c r="B32" s="577">
        <v>0</v>
      </c>
      <c r="C32" s="578">
        <v>0</v>
      </c>
      <c r="D32" s="579">
        <v>0</v>
      </c>
      <c r="E32" s="580">
        <v>0</v>
      </c>
      <c r="F32" s="577">
        <v>0</v>
      </c>
      <c r="G32" s="581">
        <v>0</v>
      </c>
      <c r="H32" s="579">
        <v>0</v>
      </c>
      <c r="I32" s="580">
        <v>0</v>
      </c>
      <c r="J32" s="582">
        <v>0</v>
      </c>
      <c r="K32" s="583">
        <v>0</v>
      </c>
      <c r="L32" s="579">
        <v>0</v>
      </c>
      <c r="M32" s="584">
        <v>0</v>
      </c>
      <c r="P32" s="576"/>
    </row>
    <row r="33" spans="1:16" ht="14.25" hidden="1" x14ac:dyDescent="0.2">
      <c r="A33" s="572">
        <v>0.1</v>
      </c>
      <c r="B33" s="577">
        <v>0.2</v>
      </c>
      <c r="C33" s="578">
        <v>0.19</v>
      </c>
      <c r="D33" s="579">
        <f t="shared" ref="D33:M33" si="0">(D37-D32)/5*1+D32</f>
        <v>0.32799999999999996</v>
      </c>
      <c r="E33" s="580">
        <f t="shared" si="0"/>
        <v>0.316</v>
      </c>
      <c r="F33" s="577">
        <f t="shared" si="0"/>
        <v>0.54800000000000004</v>
      </c>
      <c r="G33" s="581">
        <f t="shared" si="0"/>
        <v>0.5</v>
      </c>
      <c r="H33" s="579">
        <f t="shared" si="0"/>
        <v>0.72599999999999998</v>
      </c>
      <c r="I33" s="580">
        <f t="shared" si="0"/>
        <v>0.72</v>
      </c>
      <c r="J33" s="582">
        <f t="shared" si="0"/>
        <v>0.57599999999999996</v>
      </c>
      <c r="K33" s="583">
        <f t="shared" si="0"/>
        <v>0.56799999999999995</v>
      </c>
      <c r="L33" s="579">
        <f t="shared" si="0"/>
        <v>1.0880000000000001</v>
      </c>
      <c r="M33" s="584">
        <f t="shared" si="0"/>
        <v>1.1119999999999999</v>
      </c>
      <c r="P33" s="576"/>
    </row>
    <row r="34" spans="1:16" ht="14.25" hidden="1" x14ac:dyDescent="0.2">
      <c r="A34" s="572">
        <v>0.2</v>
      </c>
      <c r="B34" s="577">
        <v>0.4</v>
      </c>
      <c r="C34" s="578">
        <v>0.38</v>
      </c>
      <c r="D34" s="579">
        <f t="shared" ref="D34:M34" si="1">(D37-D32)/5*2+D32</f>
        <v>0.65599999999999992</v>
      </c>
      <c r="E34" s="580">
        <f t="shared" si="1"/>
        <v>0.63200000000000001</v>
      </c>
      <c r="F34" s="577">
        <f t="shared" si="1"/>
        <v>1.0960000000000001</v>
      </c>
      <c r="G34" s="581">
        <f t="shared" si="1"/>
        <v>1</v>
      </c>
      <c r="H34" s="579">
        <f t="shared" si="1"/>
        <v>1.452</v>
      </c>
      <c r="I34" s="580">
        <f t="shared" si="1"/>
        <v>1.44</v>
      </c>
      <c r="J34" s="582">
        <f t="shared" si="1"/>
        <v>1.1519999999999999</v>
      </c>
      <c r="K34" s="583">
        <f t="shared" si="1"/>
        <v>1.1359999999999999</v>
      </c>
      <c r="L34" s="579">
        <f t="shared" si="1"/>
        <v>2.1760000000000002</v>
      </c>
      <c r="M34" s="584">
        <f t="shared" si="1"/>
        <v>2.2239999999999998</v>
      </c>
      <c r="P34" s="576"/>
    </row>
    <row r="35" spans="1:16" ht="14.25" hidden="1" x14ac:dyDescent="0.2">
      <c r="A35" s="572">
        <v>0.3</v>
      </c>
      <c r="B35" s="577">
        <v>0.60000000000000009</v>
      </c>
      <c r="C35" s="578">
        <v>0.57000000000000006</v>
      </c>
      <c r="D35" s="579">
        <f t="shared" ref="D35:M35" si="2">(D37-D32)/5*3+D32</f>
        <v>0.98399999999999987</v>
      </c>
      <c r="E35" s="580">
        <f t="shared" si="2"/>
        <v>0.94799999999999995</v>
      </c>
      <c r="F35" s="577">
        <f t="shared" si="2"/>
        <v>1.6440000000000001</v>
      </c>
      <c r="G35" s="581">
        <f t="shared" si="2"/>
        <v>1.5</v>
      </c>
      <c r="H35" s="579">
        <f t="shared" si="2"/>
        <v>2.1779999999999999</v>
      </c>
      <c r="I35" s="580">
        <f t="shared" si="2"/>
        <v>2.16</v>
      </c>
      <c r="J35" s="582">
        <f t="shared" si="2"/>
        <v>1.7279999999999998</v>
      </c>
      <c r="K35" s="583">
        <f t="shared" si="2"/>
        <v>1.7039999999999997</v>
      </c>
      <c r="L35" s="579">
        <f t="shared" si="2"/>
        <v>3.2640000000000002</v>
      </c>
      <c r="M35" s="584">
        <f t="shared" si="2"/>
        <v>3.3359999999999994</v>
      </c>
      <c r="P35" s="576"/>
    </row>
    <row r="36" spans="1:16" ht="14.25" hidden="1" x14ac:dyDescent="0.2">
      <c r="A36" s="572">
        <v>0.4</v>
      </c>
      <c r="B36" s="577">
        <v>0.8</v>
      </c>
      <c r="C36" s="578">
        <v>0.76</v>
      </c>
      <c r="D36" s="579">
        <f t="shared" ref="D36:M36" si="3">(D37-D32)/5*4+D32</f>
        <v>1.3119999999999998</v>
      </c>
      <c r="E36" s="580">
        <f t="shared" si="3"/>
        <v>1.264</v>
      </c>
      <c r="F36" s="577">
        <f t="shared" si="3"/>
        <v>2.1920000000000002</v>
      </c>
      <c r="G36" s="581">
        <f t="shared" si="3"/>
        <v>2</v>
      </c>
      <c r="H36" s="579">
        <f t="shared" si="3"/>
        <v>2.9039999999999999</v>
      </c>
      <c r="I36" s="580">
        <f t="shared" si="3"/>
        <v>2.88</v>
      </c>
      <c r="J36" s="582">
        <f t="shared" si="3"/>
        <v>2.3039999999999998</v>
      </c>
      <c r="K36" s="583">
        <f t="shared" si="3"/>
        <v>2.2719999999999998</v>
      </c>
      <c r="L36" s="579">
        <f t="shared" si="3"/>
        <v>4.3520000000000003</v>
      </c>
      <c r="M36" s="584">
        <f t="shared" si="3"/>
        <v>4.4479999999999995</v>
      </c>
      <c r="P36" s="576"/>
    </row>
    <row r="37" spans="1:16" ht="14.25" hidden="1" x14ac:dyDescent="0.2">
      <c r="A37" s="572">
        <v>0.5</v>
      </c>
      <c r="B37" s="577">
        <v>1</v>
      </c>
      <c r="C37" s="578">
        <v>0.95</v>
      </c>
      <c r="D37" s="579">
        <v>1.64</v>
      </c>
      <c r="E37" s="580">
        <v>1.58</v>
      </c>
      <c r="F37" s="577">
        <v>2.74</v>
      </c>
      <c r="G37" s="581">
        <v>2.5</v>
      </c>
      <c r="H37" s="579">
        <v>3.63</v>
      </c>
      <c r="I37" s="580">
        <v>3.6</v>
      </c>
      <c r="J37" s="582">
        <v>2.88</v>
      </c>
      <c r="K37" s="583">
        <v>2.84</v>
      </c>
      <c r="L37" s="585">
        <v>5.44</v>
      </c>
      <c r="M37" s="584">
        <v>5.56</v>
      </c>
      <c r="P37" s="576"/>
    </row>
    <row r="38" spans="1:16" ht="14.25" hidden="1" x14ac:dyDescent="0.2">
      <c r="A38" s="572">
        <v>0.6</v>
      </c>
      <c r="B38" s="577">
        <v>1.1240000000000001</v>
      </c>
      <c r="C38" s="578">
        <v>1.0580000000000001</v>
      </c>
      <c r="D38" s="579">
        <f t="shared" ref="D38:M38" si="4">(D42-D37)/5*1+D37</f>
        <v>1.8839999999999999</v>
      </c>
      <c r="E38" s="580">
        <f t="shared" si="4"/>
        <v>1.786</v>
      </c>
      <c r="F38" s="577">
        <f t="shared" si="4"/>
        <v>3.4026000000000001</v>
      </c>
      <c r="G38" s="581">
        <f t="shared" si="4"/>
        <v>2.9140000000000001</v>
      </c>
      <c r="H38" s="579">
        <f t="shared" si="4"/>
        <v>4.3579999999999997</v>
      </c>
      <c r="I38" s="580">
        <f t="shared" si="4"/>
        <v>4.3120000000000003</v>
      </c>
      <c r="J38" s="582">
        <f t="shared" si="4"/>
        <v>3.972</v>
      </c>
      <c r="K38" s="583">
        <f t="shared" si="4"/>
        <v>3.9359999999999999</v>
      </c>
      <c r="L38" s="585">
        <f t="shared" si="4"/>
        <v>6.75</v>
      </c>
      <c r="M38" s="584">
        <f t="shared" si="4"/>
        <v>6.9159999999999995</v>
      </c>
      <c r="P38" s="576"/>
    </row>
    <row r="39" spans="1:16" ht="14.25" hidden="1" x14ac:dyDescent="0.2">
      <c r="A39" s="572">
        <v>0.7</v>
      </c>
      <c r="B39" s="577">
        <v>1.248</v>
      </c>
      <c r="C39" s="578">
        <v>1.1659999999999999</v>
      </c>
      <c r="D39" s="579">
        <f t="shared" ref="D39:M39" si="5">(D42-D37)/5*2+D37</f>
        <v>2.1280000000000001</v>
      </c>
      <c r="E39" s="580">
        <f t="shared" si="5"/>
        <v>1.992</v>
      </c>
      <c r="F39" s="577">
        <f t="shared" si="5"/>
        <v>4.0651999999999999</v>
      </c>
      <c r="G39" s="581">
        <f t="shared" si="5"/>
        <v>3.3280000000000003</v>
      </c>
      <c r="H39" s="585">
        <f t="shared" si="5"/>
        <v>5.0860000000000003</v>
      </c>
      <c r="I39" s="580">
        <f t="shared" si="5"/>
        <v>5.024</v>
      </c>
      <c r="J39" s="586">
        <f t="shared" si="5"/>
        <v>5.0640000000000001</v>
      </c>
      <c r="K39" s="583">
        <f t="shared" si="5"/>
        <v>5.032</v>
      </c>
      <c r="L39" s="585">
        <f t="shared" si="5"/>
        <v>8.06</v>
      </c>
      <c r="M39" s="584">
        <f t="shared" si="5"/>
        <v>8.2720000000000002</v>
      </c>
      <c r="P39" s="576"/>
    </row>
    <row r="40" spans="1:16" ht="14.25" hidden="1" x14ac:dyDescent="0.2">
      <c r="A40" s="572">
        <v>0.8</v>
      </c>
      <c r="B40" s="577">
        <v>1.3720000000000001</v>
      </c>
      <c r="C40" s="578">
        <v>1.274</v>
      </c>
      <c r="D40" s="579">
        <f t="shared" ref="D40:M40" si="6">(D42-D37)/5*3+D37</f>
        <v>2.3719999999999999</v>
      </c>
      <c r="E40" s="580">
        <f t="shared" si="6"/>
        <v>2.198</v>
      </c>
      <c r="F40" s="577">
        <f t="shared" si="6"/>
        <v>4.7278000000000002</v>
      </c>
      <c r="G40" s="581">
        <f t="shared" si="6"/>
        <v>3.742</v>
      </c>
      <c r="H40" s="585">
        <f t="shared" si="6"/>
        <v>5.8140000000000001</v>
      </c>
      <c r="I40" s="580">
        <f t="shared" si="6"/>
        <v>5.7360000000000007</v>
      </c>
      <c r="J40" s="586">
        <f t="shared" si="6"/>
        <v>6.1560000000000006</v>
      </c>
      <c r="K40" s="583">
        <f t="shared" si="6"/>
        <v>6.1280000000000001</v>
      </c>
      <c r="L40" s="585">
        <f t="shared" si="6"/>
        <v>9.370000000000001</v>
      </c>
      <c r="M40" s="584">
        <f t="shared" si="6"/>
        <v>9.6280000000000001</v>
      </c>
      <c r="P40" s="576"/>
    </row>
    <row r="41" spans="1:16" ht="14.25" hidden="1" x14ac:dyDescent="0.2">
      <c r="A41" s="572">
        <v>0.9</v>
      </c>
      <c r="B41" s="577">
        <v>1.496</v>
      </c>
      <c r="C41" s="578">
        <v>1.3820000000000001</v>
      </c>
      <c r="D41" s="579">
        <f t="shared" ref="D41:M41" si="7">(D42-D37)/5*4+D37</f>
        <v>2.6159999999999997</v>
      </c>
      <c r="E41" s="580">
        <f t="shared" si="7"/>
        <v>2.4039999999999999</v>
      </c>
      <c r="F41" s="587">
        <f t="shared" si="7"/>
        <v>5.3903999999999996</v>
      </c>
      <c r="G41" s="581">
        <f t="shared" si="7"/>
        <v>4.1560000000000006</v>
      </c>
      <c r="H41" s="585">
        <f t="shared" si="7"/>
        <v>6.5419999999999998</v>
      </c>
      <c r="I41" s="580">
        <f t="shared" si="7"/>
        <v>6.4480000000000004</v>
      </c>
      <c r="J41" s="586">
        <f t="shared" si="7"/>
        <v>7.2480000000000002</v>
      </c>
      <c r="K41" s="583">
        <f t="shared" si="7"/>
        <v>7.2240000000000002</v>
      </c>
      <c r="L41" s="585">
        <f t="shared" si="7"/>
        <v>10.68</v>
      </c>
      <c r="M41" s="584">
        <f t="shared" si="7"/>
        <v>10.984</v>
      </c>
      <c r="P41" s="576"/>
    </row>
    <row r="42" spans="1:16" ht="14.25" hidden="1" x14ac:dyDescent="0.2">
      <c r="A42" s="572">
        <v>1</v>
      </c>
      <c r="B42" s="577">
        <v>1.62</v>
      </c>
      <c r="C42" s="578">
        <v>1.49</v>
      </c>
      <c r="D42" s="579">
        <v>2.86</v>
      </c>
      <c r="E42" s="580">
        <v>2.61</v>
      </c>
      <c r="F42" s="587">
        <v>6.0529999999999999</v>
      </c>
      <c r="G42" s="581">
        <v>4.57</v>
      </c>
      <c r="H42" s="585">
        <v>7.27</v>
      </c>
      <c r="I42" s="580">
        <v>7.16</v>
      </c>
      <c r="J42" s="586">
        <v>8.34</v>
      </c>
      <c r="K42" s="583">
        <v>8.32</v>
      </c>
      <c r="L42" s="585">
        <v>11.99</v>
      </c>
      <c r="M42" s="584">
        <v>12.34</v>
      </c>
      <c r="P42" s="576"/>
    </row>
    <row r="43" spans="1:16" ht="14.25" hidden="1" x14ac:dyDescent="0.2">
      <c r="A43" s="572">
        <v>1.1000000000000001</v>
      </c>
      <c r="B43" s="577">
        <v>1.7240000000000002</v>
      </c>
      <c r="C43" s="578">
        <v>1.5720000000000001</v>
      </c>
      <c r="D43" s="579">
        <f t="shared" ref="D43:M43" si="8">(D47-D42)/5*1+D42</f>
        <v>3.05</v>
      </c>
      <c r="E43" s="580">
        <f t="shared" si="8"/>
        <v>2.7839999999999998</v>
      </c>
      <c r="F43" s="587">
        <f t="shared" si="8"/>
        <v>7.0844000000000005</v>
      </c>
      <c r="G43" s="581">
        <f t="shared" si="8"/>
        <v>4.9460000000000006</v>
      </c>
      <c r="H43" s="585">
        <f t="shared" si="8"/>
        <v>8.0179999999999989</v>
      </c>
      <c r="I43" s="580">
        <f t="shared" si="8"/>
        <v>7.8220000000000001</v>
      </c>
      <c r="J43" s="586">
        <f t="shared" si="8"/>
        <v>9.4960000000000004</v>
      </c>
      <c r="K43" s="583">
        <f t="shared" si="8"/>
        <v>9.2759999999999998</v>
      </c>
      <c r="L43" s="585">
        <f t="shared" si="8"/>
        <v>13.122</v>
      </c>
      <c r="M43" s="584">
        <f t="shared" si="8"/>
        <v>13.39</v>
      </c>
      <c r="P43" s="576"/>
    </row>
    <row r="44" spans="1:16" ht="14.25" hidden="1" x14ac:dyDescent="0.2">
      <c r="A44" s="572">
        <v>1.2</v>
      </c>
      <c r="B44" s="577">
        <v>1.8280000000000001</v>
      </c>
      <c r="C44" s="578">
        <v>1.6539999999999999</v>
      </c>
      <c r="D44" s="579">
        <f t="shared" ref="D44:M44" si="9">(D47-D42)/5*2+D42</f>
        <v>3.2399999999999998</v>
      </c>
      <c r="E44" s="580">
        <f t="shared" si="9"/>
        <v>2.9579999999999997</v>
      </c>
      <c r="F44" s="587">
        <f t="shared" si="9"/>
        <v>8.1158000000000001</v>
      </c>
      <c r="G44" s="581">
        <f t="shared" si="9"/>
        <v>5.3220000000000001</v>
      </c>
      <c r="H44" s="585">
        <f t="shared" si="9"/>
        <v>8.766</v>
      </c>
      <c r="I44" s="580">
        <f t="shared" si="9"/>
        <v>8.484</v>
      </c>
      <c r="J44" s="586">
        <f t="shared" si="9"/>
        <v>10.651999999999999</v>
      </c>
      <c r="K44" s="583">
        <f t="shared" si="9"/>
        <v>10.231999999999999</v>
      </c>
      <c r="L44" s="585">
        <f t="shared" si="9"/>
        <v>14.254</v>
      </c>
      <c r="M44" s="584">
        <f t="shared" si="9"/>
        <v>14.44</v>
      </c>
      <c r="P44" s="576"/>
    </row>
    <row r="45" spans="1:16" ht="14.25" hidden="1" x14ac:dyDescent="0.2">
      <c r="A45" s="572">
        <v>1.3</v>
      </c>
      <c r="B45" s="577">
        <v>1.9320000000000002</v>
      </c>
      <c r="C45" s="578">
        <v>1.736</v>
      </c>
      <c r="D45" s="579">
        <f t="shared" ref="D45:M45" si="10">(D47-D42)/5*3+D42</f>
        <v>3.4299999999999997</v>
      </c>
      <c r="E45" s="580">
        <f t="shared" si="10"/>
        <v>3.1319999999999997</v>
      </c>
      <c r="F45" s="587">
        <f t="shared" si="10"/>
        <v>9.1471999999999998</v>
      </c>
      <c r="G45" s="581">
        <f t="shared" si="10"/>
        <v>5.6980000000000004</v>
      </c>
      <c r="H45" s="585">
        <f t="shared" si="10"/>
        <v>9.5139999999999993</v>
      </c>
      <c r="I45" s="580">
        <f t="shared" si="10"/>
        <v>9.1460000000000008</v>
      </c>
      <c r="J45" s="586">
        <f t="shared" si="10"/>
        <v>11.808</v>
      </c>
      <c r="K45" s="583">
        <f t="shared" si="10"/>
        <v>11.187999999999999</v>
      </c>
      <c r="L45" s="585">
        <f t="shared" si="10"/>
        <v>15.385999999999999</v>
      </c>
      <c r="M45" s="584">
        <f t="shared" si="10"/>
        <v>15.49</v>
      </c>
      <c r="P45" s="576"/>
    </row>
    <row r="46" spans="1:16" ht="14.25" hidden="1" x14ac:dyDescent="0.2">
      <c r="A46" s="572">
        <v>1.4</v>
      </c>
      <c r="B46" s="577">
        <v>2.036</v>
      </c>
      <c r="C46" s="578">
        <v>1.8180000000000001</v>
      </c>
      <c r="D46" s="579">
        <f t="shared" ref="D46:M46" si="11">(D47-D42)/5*4+D42</f>
        <v>3.62</v>
      </c>
      <c r="E46" s="580">
        <f t="shared" si="11"/>
        <v>3.306</v>
      </c>
      <c r="F46" s="587">
        <f t="shared" si="11"/>
        <v>10.178599999999999</v>
      </c>
      <c r="G46" s="581">
        <f t="shared" si="11"/>
        <v>6.0739999999999998</v>
      </c>
      <c r="H46" s="585">
        <f t="shared" si="11"/>
        <v>10.262</v>
      </c>
      <c r="I46" s="580">
        <f t="shared" si="11"/>
        <v>9.8079999999999998</v>
      </c>
      <c r="J46" s="586">
        <f t="shared" si="11"/>
        <v>12.963999999999999</v>
      </c>
      <c r="K46" s="583">
        <f t="shared" si="11"/>
        <v>12.144</v>
      </c>
      <c r="L46" s="585">
        <f t="shared" si="11"/>
        <v>16.518000000000001</v>
      </c>
      <c r="M46" s="584">
        <f t="shared" si="11"/>
        <v>16.54</v>
      </c>
      <c r="P46" s="576"/>
    </row>
    <row r="47" spans="1:16" ht="14.25" hidden="1" x14ac:dyDescent="0.2">
      <c r="A47" s="572">
        <v>1.5</v>
      </c>
      <c r="B47" s="577">
        <v>2.14</v>
      </c>
      <c r="C47" s="578">
        <v>1.9</v>
      </c>
      <c r="D47" s="579">
        <v>3.81</v>
      </c>
      <c r="E47" s="580">
        <v>3.48</v>
      </c>
      <c r="F47" s="587">
        <v>11.21</v>
      </c>
      <c r="G47" s="581">
        <v>6.45</v>
      </c>
      <c r="H47" s="585">
        <v>11.01</v>
      </c>
      <c r="I47" s="580">
        <v>10.47</v>
      </c>
      <c r="J47" s="586">
        <v>14.12</v>
      </c>
      <c r="K47" s="583">
        <v>13.1</v>
      </c>
      <c r="L47" s="585">
        <v>17.649999999999999</v>
      </c>
      <c r="M47" s="584">
        <v>17.59</v>
      </c>
      <c r="P47" s="576"/>
    </row>
    <row r="48" spans="1:16" ht="14.25" hidden="1" x14ac:dyDescent="0.2">
      <c r="A48" s="572">
        <v>1.6</v>
      </c>
      <c r="B48" s="577">
        <v>2.242</v>
      </c>
      <c r="C48" s="578">
        <v>1.974</v>
      </c>
      <c r="D48" s="579">
        <f t="shared" ref="D48:M48" si="12">(D52-D47)/5*1+D47</f>
        <v>4.0019999999999998</v>
      </c>
      <c r="E48" s="580">
        <f t="shared" si="12"/>
        <v>3.6219999999999999</v>
      </c>
      <c r="F48" s="587">
        <f t="shared" si="12"/>
        <v>12.142000000000001</v>
      </c>
      <c r="G48" s="581">
        <f t="shared" si="12"/>
        <v>6.6820000000000004</v>
      </c>
      <c r="H48" s="585">
        <f t="shared" si="12"/>
        <v>11.54</v>
      </c>
      <c r="I48" s="580">
        <f t="shared" si="12"/>
        <v>10.968</v>
      </c>
      <c r="J48" s="586">
        <f t="shared" si="12"/>
        <v>15.03</v>
      </c>
      <c r="K48" s="583">
        <f t="shared" si="12"/>
        <v>13.736000000000001</v>
      </c>
      <c r="L48" s="585">
        <f t="shared" si="12"/>
        <v>18.667999999999999</v>
      </c>
      <c r="M48" s="584">
        <f t="shared" si="12"/>
        <v>18.498000000000001</v>
      </c>
      <c r="P48" s="576"/>
    </row>
    <row r="49" spans="1:16" ht="14.25" hidden="1" x14ac:dyDescent="0.2">
      <c r="A49" s="572">
        <v>1.7</v>
      </c>
      <c r="B49" s="577">
        <v>2.3439999999999999</v>
      </c>
      <c r="C49" s="578">
        <v>2.048</v>
      </c>
      <c r="D49" s="579">
        <f t="shared" ref="D49:M49" si="13">(D52-D47)/5*2+D47</f>
        <v>4.194</v>
      </c>
      <c r="E49" s="580">
        <f t="shared" si="13"/>
        <v>3.7640000000000002</v>
      </c>
      <c r="F49" s="587">
        <f t="shared" si="13"/>
        <v>13.074</v>
      </c>
      <c r="G49" s="581">
        <f t="shared" si="13"/>
        <v>6.9140000000000006</v>
      </c>
      <c r="H49" s="585">
        <f t="shared" si="13"/>
        <v>12.07</v>
      </c>
      <c r="I49" s="580">
        <f t="shared" si="13"/>
        <v>11.466000000000001</v>
      </c>
      <c r="J49" s="586">
        <f t="shared" si="13"/>
        <v>15.94</v>
      </c>
      <c r="K49" s="583">
        <f t="shared" si="13"/>
        <v>14.372</v>
      </c>
      <c r="L49" s="585">
        <f t="shared" si="13"/>
        <v>19.686</v>
      </c>
      <c r="M49" s="584">
        <f t="shared" si="13"/>
        <v>19.405999999999999</v>
      </c>
      <c r="P49" s="576"/>
    </row>
    <row r="50" spans="1:16" ht="14.25" hidden="1" x14ac:dyDescent="0.2">
      <c r="A50" s="572">
        <v>1.8</v>
      </c>
      <c r="B50" s="577">
        <v>2.4459999999999997</v>
      </c>
      <c r="C50" s="578">
        <v>2.1219999999999999</v>
      </c>
      <c r="D50" s="579">
        <f t="shared" ref="D50:M50" si="14">(D52-D47)/5*3+D47</f>
        <v>4.3859999999999992</v>
      </c>
      <c r="E50" s="580">
        <f t="shared" si="14"/>
        <v>3.9060000000000001</v>
      </c>
      <c r="F50" s="587">
        <f t="shared" si="14"/>
        <v>14.006</v>
      </c>
      <c r="G50" s="581">
        <f t="shared" si="14"/>
        <v>7.1460000000000008</v>
      </c>
      <c r="H50" s="585">
        <f t="shared" si="14"/>
        <v>12.6</v>
      </c>
      <c r="I50" s="580">
        <f t="shared" si="14"/>
        <v>11.964</v>
      </c>
      <c r="J50" s="586">
        <f t="shared" si="14"/>
        <v>16.850000000000001</v>
      </c>
      <c r="K50" s="583">
        <f t="shared" si="14"/>
        <v>15.008000000000001</v>
      </c>
      <c r="L50" s="585">
        <f t="shared" si="14"/>
        <v>20.704000000000001</v>
      </c>
      <c r="M50" s="584">
        <f t="shared" si="14"/>
        <v>20.314</v>
      </c>
      <c r="P50" s="576"/>
    </row>
    <row r="51" spans="1:16" ht="14.25" hidden="1" x14ac:dyDescent="0.2">
      <c r="A51" s="572">
        <v>1.9</v>
      </c>
      <c r="B51" s="577">
        <v>2.548</v>
      </c>
      <c r="C51" s="578">
        <v>2.1960000000000002</v>
      </c>
      <c r="D51" s="579">
        <f t="shared" ref="D51:M51" si="15">(D52-D47)/5*4+D47</f>
        <v>4.5779999999999994</v>
      </c>
      <c r="E51" s="580">
        <f t="shared" si="15"/>
        <v>4.048</v>
      </c>
      <c r="F51" s="587">
        <f t="shared" si="15"/>
        <v>14.937999999999999</v>
      </c>
      <c r="G51" s="581">
        <f t="shared" si="15"/>
        <v>7.3780000000000001</v>
      </c>
      <c r="H51" s="585">
        <f t="shared" si="15"/>
        <v>13.129999999999999</v>
      </c>
      <c r="I51" s="580">
        <f t="shared" si="15"/>
        <v>12.462000000000002</v>
      </c>
      <c r="J51" s="586">
        <f t="shared" si="15"/>
        <v>17.760000000000002</v>
      </c>
      <c r="K51" s="583">
        <f t="shared" si="15"/>
        <v>15.644000000000002</v>
      </c>
      <c r="L51" s="585">
        <f t="shared" si="15"/>
        <v>21.721999999999998</v>
      </c>
      <c r="M51" s="584">
        <f t="shared" si="15"/>
        <v>21.221999999999998</v>
      </c>
      <c r="P51" s="576"/>
    </row>
    <row r="52" spans="1:16" ht="14.25" hidden="1" x14ac:dyDescent="0.2">
      <c r="A52" s="572">
        <v>2</v>
      </c>
      <c r="B52" s="577">
        <v>2.65</v>
      </c>
      <c r="C52" s="578">
        <v>2.27</v>
      </c>
      <c r="D52" s="579">
        <v>4.7699999999999996</v>
      </c>
      <c r="E52" s="580">
        <v>4.1900000000000004</v>
      </c>
      <c r="F52" s="587">
        <v>15.87</v>
      </c>
      <c r="G52" s="581">
        <v>7.61</v>
      </c>
      <c r="H52" s="585">
        <v>13.66</v>
      </c>
      <c r="I52" s="580">
        <v>12.96</v>
      </c>
      <c r="J52" s="586">
        <v>18.670000000000002</v>
      </c>
      <c r="K52" s="583">
        <v>16.28</v>
      </c>
      <c r="L52" s="585">
        <v>22.74</v>
      </c>
      <c r="M52" s="584">
        <v>22.13</v>
      </c>
      <c r="P52" s="576"/>
    </row>
    <row r="53" spans="1:16" ht="14.25" hidden="1" x14ac:dyDescent="0.2">
      <c r="A53" s="572">
        <v>2.1</v>
      </c>
      <c r="B53" s="577">
        <v>2.698</v>
      </c>
      <c r="C53" s="578">
        <v>2.3159999999999998</v>
      </c>
      <c r="D53" s="579">
        <f t="shared" ref="D53:M53" si="16">(D57-D52)/5*1+D52</f>
        <v>4.92</v>
      </c>
      <c r="E53" s="580">
        <f t="shared" si="16"/>
        <v>4.3240000000000007</v>
      </c>
      <c r="F53" s="587">
        <f t="shared" si="16"/>
        <v>16.838000000000001</v>
      </c>
      <c r="G53" s="581">
        <f t="shared" si="16"/>
        <v>7.8280000000000003</v>
      </c>
      <c r="H53" s="585">
        <f t="shared" si="16"/>
        <v>14.132</v>
      </c>
      <c r="I53" s="580">
        <f t="shared" si="16"/>
        <v>13.416</v>
      </c>
      <c r="J53" s="586">
        <f t="shared" si="16"/>
        <v>19.542000000000002</v>
      </c>
      <c r="K53" s="583">
        <f t="shared" si="16"/>
        <v>16.87</v>
      </c>
      <c r="L53" s="585">
        <f t="shared" si="16"/>
        <v>23.765999999999998</v>
      </c>
      <c r="M53" s="584">
        <f t="shared" si="16"/>
        <v>22.834</v>
      </c>
      <c r="P53" s="576"/>
    </row>
    <row r="54" spans="1:16" ht="14.25" hidden="1" x14ac:dyDescent="0.2">
      <c r="A54" s="572">
        <v>2.2000000000000002</v>
      </c>
      <c r="B54" s="577">
        <v>2.746</v>
      </c>
      <c r="C54" s="578">
        <v>2.3620000000000001</v>
      </c>
      <c r="D54" s="585">
        <f t="shared" ref="D54:M54" si="17">(D57-D52)/5*2+D52</f>
        <v>5.0699999999999994</v>
      </c>
      <c r="E54" s="580">
        <f t="shared" si="17"/>
        <v>4.4580000000000002</v>
      </c>
      <c r="F54" s="587">
        <f t="shared" si="17"/>
        <v>17.806000000000001</v>
      </c>
      <c r="G54" s="581">
        <f t="shared" si="17"/>
        <v>8.0459999999999994</v>
      </c>
      <c r="H54" s="585">
        <f t="shared" si="17"/>
        <v>14.603999999999999</v>
      </c>
      <c r="I54" s="580">
        <f t="shared" si="17"/>
        <v>13.872</v>
      </c>
      <c r="J54" s="586">
        <f t="shared" si="17"/>
        <v>20.414000000000001</v>
      </c>
      <c r="K54" s="583">
        <f t="shared" si="17"/>
        <v>17.46</v>
      </c>
      <c r="L54" s="585">
        <f t="shared" si="17"/>
        <v>24.791999999999998</v>
      </c>
      <c r="M54" s="584">
        <f t="shared" si="17"/>
        <v>23.538</v>
      </c>
      <c r="P54" s="576"/>
    </row>
    <row r="55" spans="1:16" ht="14.25" hidden="1" x14ac:dyDescent="0.2">
      <c r="A55" s="572">
        <v>2.2999999999999998</v>
      </c>
      <c r="B55" s="577">
        <v>2.794</v>
      </c>
      <c r="C55" s="578">
        <v>2.4079999999999999</v>
      </c>
      <c r="D55" s="585">
        <f t="shared" ref="D55:M55" si="18">(D57-D52)/5*3+D52</f>
        <v>5.22</v>
      </c>
      <c r="E55" s="580">
        <f t="shared" si="18"/>
        <v>4.5920000000000005</v>
      </c>
      <c r="F55" s="587">
        <f t="shared" si="18"/>
        <v>18.774000000000001</v>
      </c>
      <c r="G55" s="581">
        <f t="shared" si="18"/>
        <v>8.2639999999999993</v>
      </c>
      <c r="H55" s="585">
        <f t="shared" si="18"/>
        <v>15.076000000000001</v>
      </c>
      <c r="I55" s="580">
        <f t="shared" si="18"/>
        <v>14.327999999999999</v>
      </c>
      <c r="J55" s="586">
        <f t="shared" si="18"/>
        <v>21.286000000000001</v>
      </c>
      <c r="K55" s="583">
        <f t="shared" si="18"/>
        <v>18.05</v>
      </c>
      <c r="L55" s="585">
        <f t="shared" si="18"/>
        <v>25.817999999999998</v>
      </c>
      <c r="M55" s="584">
        <f t="shared" si="18"/>
        <v>24.241999999999997</v>
      </c>
      <c r="P55" s="576"/>
    </row>
    <row r="56" spans="1:16" ht="14.25" hidden="1" x14ac:dyDescent="0.2">
      <c r="A56" s="572">
        <v>2.4</v>
      </c>
      <c r="B56" s="577">
        <v>2.8420000000000001</v>
      </c>
      <c r="C56" s="578">
        <v>2.4540000000000002</v>
      </c>
      <c r="D56" s="585">
        <f t="shared" ref="D56:M56" si="19">(D57-D52)/5*4+D52</f>
        <v>5.3699999999999992</v>
      </c>
      <c r="E56" s="580">
        <f t="shared" si="19"/>
        <v>4.726</v>
      </c>
      <c r="F56" s="587">
        <f t="shared" si="19"/>
        <v>19.742000000000001</v>
      </c>
      <c r="G56" s="581">
        <f t="shared" si="19"/>
        <v>8.4819999999999993</v>
      </c>
      <c r="H56" s="585">
        <f t="shared" si="19"/>
        <v>15.548</v>
      </c>
      <c r="I56" s="580">
        <f t="shared" si="19"/>
        <v>14.784000000000001</v>
      </c>
      <c r="J56" s="586">
        <f t="shared" si="19"/>
        <v>22.158000000000001</v>
      </c>
      <c r="K56" s="583">
        <f t="shared" si="19"/>
        <v>18.64</v>
      </c>
      <c r="L56" s="585">
        <f t="shared" si="19"/>
        <v>26.844000000000001</v>
      </c>
      <c r="M56" s="584">
        <f t="shared" si="19"/>
        <v>24.945999999999998</v>
      </c>
      <c r="P56" s="576"/>
    </row>
    <row r="57" spans="1:16" ht="14.25" hidden="1" x14ac:dyDescent="0.2">
      <c r="A57" s="572">
        <v>2.5</v>
      </c>
      <c r="B57" s="577">
        <v>2.89</v>
      </c>
      <c r="C57" s="578">
        <v>2.5</v>
      </c>
      <c r="D57" s="585">
        <v>5.52</v>
      </c>
      <c r="E57" s="580">
        <v>4.8600000000000003</v>
      </c>
      <c r="F57" s="587">
        <v>20.71</v>
      </c>
      <c r="G57" s="581">
        <v>8.6999999999999993</v>
      </c>
      <c r="H57" s="585">
        <v>16.02</v>
      </c>
      <c r="I57" s="580">
        <v>15.24</v>
      </c>
      <c r="J57" s="586">
        <v>23.03</v>
      </c>
      <c r="K57" s="583">
        <v>19.23</v>
      </c>
      <c r="L57" s="585">
        <v>27.87</v>
      </c>
      <c r="M57" s="584">
        <v>25.65</v>
      </c>
      <c r="P57" s="576"/>
    </row>
    <row r="58" spans="1:16" ht="14.25" hidden="1" x14ac:dyDescent="0.2">
      <c r="A58" s="572">
        <v>2.6</v>
      </c>
      <c r="B58" s="577">
        <v>3.1160000000000001</v>
      </c>
      <c r="C58" s="578">
        <v>2.5779999999999998</v>
      </c>
      <c r="D58" s="585">
        <f t="shared" ref="D58:M58" si="20">(D62-D57)/5*1+D57</f>
        <v>5.7159999999999993</v>
      </c>
      <c r="E58" s="580">
        <f t="shared" si="20"/>
        <v>4.9860000000000007</v>
      </c>
      <c r="F58" s="587">
        <f t="shared" si="20"/>
        <v>21.565999999999999</v>
      </c>
      <c r="G58" s="581">
        <f t="shared" si="20"/>
        <v>8.84</v>
      </c>
      <c r="H58" s="585">
        <f t="shared" si="20"/>
        <v>16.457999999999998</v>
      </c>
      <c r="I58" s="580">
        <f t="shared" si="20"/>
        <v>15.646000000000001</v>
      </c>
      <c r="J58" s="586">
        <f t="shared" si="20"/>
        <v>23.812000000000001</v>
      </c>
      <c r="K58" s="583">
        <f t="shared" si="20"/>
        <v>19.722000000000001</v>
      </c>
      <c r="L58" s="585">
        <f t="shared" si="20"/>
        <v>28.76</v>
      </c>
      <c r="M58" s="584">
        <f t="shared" si="20"/>
        <v>26.411999999999999</v>
      </c>
      <c r="P58" s="576"/>
    </row>
    <row r="59" spans="1:16" ht="14.25" hidden="1" x14ac:dyDescent="0.2">
      <c r="A59" s="572">
        <v>2.7</v>
      </c>
      <c r="B59" s="577">
        <v>3.3420000000000001</v>
      </c>
      <c r="C59" s="578">
        <v>2.6560000000000001</v>
      </c>
      <c r="D59" s="585">
        <f t="shared" ref="D59:M59" si="21">(D62-D57)/5*2+D57</f>
        <v>5.9119999999999999</v>
      </c>
      <c r="E59" s="580">
        <f t="shared" si="21"/>
        <v>5.1120000000000001</v>
      </c>
      <c r="F59" s="587">
        <f t="shared" si="21"/>
        <v>22.422000000000001</v>
      </c>
      <c r="G59" s="581">
        <f t="shared" si="21"/>
        <v>8.98</v>
      </c>
      <c r="H59" s="585">
        <f t="shared" si="21"/>
        <v>16.896000000000001</v>
      </c>
      <c r="I59" s="580">
        <f t="shared" si="21"/>
        <v>16.052</v>
      </c>
      <c r="J59" s="586">
        <f t="shared" si="21"/>
        <v>24.594000000000001</v>
      </c>
      <c r="K59" s="583">
        <f t="shared" si="21"/>
        <v>20.214000000000002</v>
      </c>
      <c r="L59" s="585">
        <f t="shared" si="21"/>
        <v>29.650000000000002</v>
      </c>
      <c r="M59" s="584">
        <f t="shared" si="21"/>
        <v>27.173999999999999</v>
      </c>
      <c r="P59" s="576"/>
    </row>
    <row r="60" spans="1:16" ht="14.25" hidden="1" x14ac:dyDescent="0.2">
      <c r="A60" s="572">
        <v>2.8</v>
      </c>
      <c r="B60" s="577">
        <v>3.5679999999999996</v>
      </c>
      <c r="C60" s="578">
        <v>2.734</v>
      </c>
      <c r="D60" s="585">
        <f t="shared" ref="D60:M60" si="22">(D62-D57)/5*3+D57</f>
        <v>6.1079999999999997</v>
      </c>
      <c r="E60" s="580">
        <f t="shared" si="22"/>
        <v>5.2380000000000004</v>
      </c>
      <c r="F60" s="587">
        <f t="shared" si="22"/>
        <v>23.277999999999999</v>
      </c>
      <c r="G60" s="581">
        <f t="shared" si="22"/>
        <v>9.1199999999999992</v>
      </c>
      <c r="H60" s="585">
        <f t="shared" si="22"/>
        <v>17.334</v>
      </c>
      <c r="I60" s="580">
        <f t="shared" si="22"/>
        <v>16.457999999999998</v>
      </c>
      <c r="J60" s="586">
        <f t="shared" si="22"/>
        <v>25.376000000000001</v>
      </c>
      <c r="K60" s="583">
        <f t="shared" si="22"/>
        <v>20.706</v>
      </c>
      <c r="L60" s="585">
        <f t="shared" si="22"/>
        <v>30.54</v>
      </c>
      <c r="M60" s="584">
        <f t="shared" si="22"/>
        <v>27.936</v>
      </c>
      <c r="P60" s="576"/>
    </row>
    <row r="61" spans="1:16" ht="14.25" hidden="1" x14ac:dyDescent="0.2">
      <c r="A61" s="572">
        <v>2.9</v>
      </c>
      <c r="B61" s="577">
        <v>3.7939999999999996</v>
      </c>
      <c r="C61" s="578">
        <v>2.8120000000000003</v>
      </c>
      <c r="D61" s="585">
        <f t="shared" ref="D61:M61" si="23">(D62-D57)/5*4+D57</f>
        <v>6.3040000000000003</v>
      </c>
      <c r="E61" s="580">
        <f t="shared" si="23"/>
        <v>5.3639999999999999</v>
      </c>
      <c r="F61" s="587">
        <f t="shared" si="23"/>
        <v>24.134</v>
      </c>
      <c r="G61" s="581">
        <f t="shared" si="23"/>
        <v>9.26</v>
      </c>
      <c r="H61" s="585">
        <f t="shared" si="23"/>
        <v>17.772000000000002</v>
      </c>
      <c r="I61" s="580">
        <f t="shared" si="23"/>
        <v>16.864000000000001</v>
      </c>
      <c r="J61" s="586">
        <f t="shared" si="23"/>
        <v>26.158000000000001</v>
      </c>
      <c r="K61" s="583">
        <f t="shared" si="23"/>
        <v>21.198</v>
      </c>
      <c r="L61" s="585">
        <f t="shared" si="23"/>
        <v>31.43</v>
      </c>
      <c r="M61" s="584">
        <f t="shared" si="23"/>
        <v>28.698</v>
      </c>
      <c r="P61" s="576"/>
    </row>
    <row r="62" spans="1:16" ht="14.25" hidden="1" x14ac:dyDescent="0.2">
      <c r="A62" s="572">
        <v>3</v>
      </c>
      <c r="B62" s="577">
        <v>4.0199999999999996</v>
      </c>
      <c r="C62" s="578">
        <v>2.89</v>
      </c>
      <c r="D62" s="585">
        <v>6.5</v>
      </c>
      <c r="E62" s="580">
        <v>5.49</v>
      </c>
      <c r="F62" s="587">
        <v>24.99</v>
      </c>
      <c r="G62" s="581">
        <v>9.4</v>
      </c>
      <c r="H62" s="585">
        <v>18.21</v>
      </c>
      <c r="I62" s="580">
        <v>17.27</v>
      </c>
      <c r="J62" s="586">
        <v>26.94</v>
      </c>
      <c r="K62" s="583">
        <v>21.69</v>
      </c>
      <c r="L62" s="585">
        <v>32.32</v>
      </c>
      <c r="M62" s="584">
        <v>29.46</v>
      </c>
      <c r="P62" s="576"/>
    </row>
    <row r="63" spans="1:16" ht="14.25" hidden="1" x14ac:dyDescent="0.2">
      <c r="A63" s="572">
        <v>3.1</v>
      </c>
      <c r="B63" s="577">
        <v>4.2879999999999994</v>
      </c>
      <c r="C63" s="578">
        <v>2.952</v>
      </c>
      <c r="D63" s="585">
        <f t="shared" ref="D63:M63" si="24">(D67-D62)/5*1+D62</f>
        <v>6.7720000000000002</v>
      </c>
      <c r="E63" s="580">
        <f t="shared" si="24"/>
        <v>5.61</v>
      </c>
      <c r="F63" s="587">
        <f t="shared" si="24"/>
        <v>26.193999999999999</v>
      </c>
      <c r="G63" s="581">
        <f t="shared" si="24"/>
        <v>9.5440000000000005</v>
      </c>
      <c r="H63" s="585">
        <f t="shared" si="24"/>
        <v>18.718</v>
      </c>
      <c r="I63" s="580">
        <f t="shared" si="24"/>
        <v>17.681999999999999</v>
      </c>
      <c r="J63" s="586">
        <f t="shared" si="24"/>
        <v>28.148</v>
      </c>
      <c r="K63" s="583">
        <f t="shared" si="24"/>
        <v>22.166</v>
      </c>
      <c r="L63" s="585">
        <f t="shared" si="24"/>
        <v>33.332000000000001</v>
      </c>
      <c r="M63" s="584">
        <f t="shared" si="24"/>
        <v>30.194000000000003</v>
      </c>
      <c r="P63" s="576"/>
    </row>
    <row r="64" spans="1:16" ht="14.25" hidden="1" x14ac:dyDescent="0.2">
      <c r="A64" s="572">
        <v>3.2</v>
      </c>
      <c r="B64" s="577">
        <v>4.556</v>
      </c>
      <c r="C64" s="578">
        <v>3.0140000000000002</v>
      </c>
      <c r="D64" s="585">
        <f t="shared" ref="D64:M64" si="25">(D67-D62)/5*2+D62</f>
        <v>7.0440000000000005</v>
      </c>
      <c r="E64" s="580">
        <f t="shared" si="25"/>
        <v>5.73</v>
      </c>
      <c r="F64" s="587">
        <f t="shared" si="25"/>
        <v>27.398</v>
      </c>
      <c r="G64" s="581">
        <f t="shared" si="25"/>
        <v>9.6880000000000006</v>
      </c>
      <c r="H64" s="585">
        <f t="shared" si="25"/>
        <v>19.225999999999999</v>
      </c>
      <c r="I64" s="580">
        <f t="shared" si="25"/>
        <v>18.093999999999998</v>
      </c>
      <c r="J64" s="586">
        <f t="shared" si="25"/>
        <v>29.355999999999998</v>
      </c>
      <c r="K64" s="583">
        <f t="shared" si="25"/>
        <v>22.641999999999999</v>
      </c>
      <c r="L64" s="585">
        <f t="shared" si="25"/>
        <v>34.344000000000001</v>
      </c>
      <c r="M64" s="584">
        <f t="shared" si="25"/>
        <v>30.928000000000001</v>
      </c>
      <c r="P64" s="576"/>
    </row>
    <row r="65" spans="1:16" ht="14.25" hidden="1" x14ac:dyDescent="0.2">
      <c r="A65" s="572">
        <v>3.3</v>
      </c>
      <c r="B65" s="577">
        <v>4.8239999999999998</v>
      </c>
      <c r="C65" s="578">
        <v>3.0760000000000001</v>
      </c>
      <c r="D65" s="585">
        <f t="shared" ref="D65:M65" si="26">(D67-D62)/5*3+D62</f>
        <v>7.3160000000000007</v>
      </c>
      <c r="E65" s="580">
        <f t="shared" si="26"/>
        <v>5.85</v>
      </c>
      <c r="F65" s="587">
        <f t="shared" si="26"/>
        <v>28.602</v>
      </c>
      <c r="G65" s="581">
        <f t="shared" si="26"/>
        <v>9.831999999999999</v>
      </c>
      <c r="H65" s="585">
        <f t="shared" si="26"/>
        <v>19.734000000000002</v>
      </c>
      <c r="I65" s="580">
        <f t="shared" si="26"/>
        <v>18.506</v>
      </c>
      <c r="J65" s="586">
        <f t="shared" si="26"/>
        <v>30.564</v>
      </c>
      <c r="K65" s="583">
        <f t="shared" si="26"/>
        <v>23.118000000000002</v>
      </c>
      <c r="L65" s="585">
        <f t="shared" si="26"/>
        <v>35.356000000000002</v>
      </c>
      <c r="M65" s="584">
        <f t="shared" si="26"/>
        <v>31.662000000000003</v>
      </c>
      <c r="P65" s="576"/>
    </row>
    <row r="66" spans="1:16" ht="14.25" hidden="1" x14ac:dyDescent="0.2">
      <c r="A66" s="572">
        <v>3.4</v>
      </c>
      <c r="B66" s="587">
        <v>5.0920000000000005</v>
      </c>
      <c r="C66" s="578">
        <v>3.1380000000000003</v>
      </c>
      <c r="D66" s="585">
        <f t="shared" ref="D66:M66" si="27">(D67-D62)/5*4+D62</f>
        <v>7.5880000000000001</v>
      </c>
      <c r="E66" s="580">
        <f t="shared" si="27"/>
        <v>5.97</v>
      </c>
      <c r="F66" s="587">
        <f t="shared" si="27"/>
        <v>29.806000000000001</v>
      </c>
      <c r="G66" s="581">
        <f t="shared" si="27"/>
        <v>9.9759999999999991</v>
      </c>
      <c r="H66" s="585">
        <f t="shared" si="27"/>
        <v>20.242000000000001</v>
      </c>
      <c r="I66" s="580">
        <f t="shared" si="27"/>
        <v>18.917999999999999</v>
      </c>
      <c r="J66" s="586">
        <f t="shared" si="27"/>
        <v>31.771999999999998</v>
      </c>
      <c r="K66" s="583">
        <f t="shared" si="27"/>
        <v>23.594000000000001</v>
      </c>
      <c r="L66" s="585">
        <f t="shared" si="27"/>
        <v>36.368000000000002</v>
      </c>
      <c r="M66" s="584">
        <f t="shared" si="27"/>
        <v>32.396000000000001</v>
      </c>
      <c r="P66" s="576"/>
    </row>
    <row r="67" spans="1:16" ht="14.25" hidden="1" x14ac:dyDescent="0.2">
      <c r="A67" s="572">
        <v>3.5</v>
      </c>
      <c r="B67" s="587">
        <v>5.36</v>
      </c>
      <c r="C67" s="578">
        <v>3.2</v>
      </c>
      <c r="D67" s="585">
        <v>7.86</v>
      </c>
      <c r="E67" s="580">
        <v>6.09</v>
      </c>
      <c r="F67" s="587">
        <v>31.01</v>
      </c>
      <c r="G67" s="581">
        <v>10.119999999999999</v>
      </c>
      <c r="H67" s="585">
        <v>20.75</v>
      </c>
      <c r="I67" s="580">
        <v>19.329999999999998</v>
      </c>
      <c r="J67" s="586">
        <v>32.979999999999997</v>
      </c>
      <c r="K67" s="583">
        <v>24.07</v>
      </c>
      <c r="L67" s="585">
        <v>37.380000000000003</v>
      </c>
      <c r="M67" s="584">
        <v>33.130000000000003</v>
      </c>
      <c r="P67" s="576"/>
    </row>
    <row r="68" spans="1:16" ht="14.25" hidden="1" x14ac:dyDescent="0.2">
      <c r="A68" s="572">
        <v>3.6</v>
      </c>
      <c r="B68" s="587">
        <v>5.6480000000000006</v>
      </c>
      <c r="C68" s="578">
        <v>3.258</v>
      </c>
      <c r="D68" s="585">
        <f t="shared" ref="D68:M68" si="28">(D72-D67)/5*1+D67</f>
        <v>8.2640000000000011</v>
      </c>
      <c r="E68" s="580">
        <f t="shared" si="28"/>
        <v>6.1719999999999997</v>
      </c>
      <c r="F68" s="587">
        <f t="shared" si="28"/>
        <v>31.166</v>
      </c>
      <c r="G68" s="581">
        <f t="shared" si="28"/>
        <v>10.196</v>
      </c>
      <c r="H68" s="585">
        <f t="shared" si="28"/>
        <v>21.202000000000002</v>
      </c>
      <c r="I68" s="580">
        <f t="shared" si="28"/>
        <v>19.663999999999998</v>
      </c>
      <c r="J68" s="586">
        <f t="shared" si="28"/>
        <v>34.373999999999995</v>
      </c>
      <c r="K68" s="583">
        <f t="shared" si="28"/>
        <v>24.456</v>
      </c>
      <c r="L68" s="585">
        <f t="shared" si="28"/>
        <v>38.444000000000003</v>
      </c>
      <c r="M68" s="584">
        <f t="shared" si="28"/>
        <v>33.768000000000001</v>
      </c>
      <c r="P68" s="576"/>
    </row>
    <row r="69" spans="1:16" ht="14.25" hidden="1" x14ac:dyDescent="0.2">
      <c r="A69" s="572">
        <v>3.7</v>
      </c>
      <c r="B69" s="587">
        <v>5.9359999999999999</v>
      </c>
      <c r="C69" s="578">
        <v>3.3160000000000003</v>
      </c>
      <c r="D69" s="585">
        <f t="shared" ref="D69:M69" si="29">(D72-D67)/5*2+D67</f>
        <v>8.668000000000001</v>
      </c>
      <c r="E69" s="580">
        <f t="shared" si="29"/>
        <v>6.2539999999999996</v>
      </c>
      <c r="F69" s="587">
        <f t="shared" si="29"/>
        <v>31.321999999999999</v>
      </c>
      <c r="G69" s="581">
        <f t="shared" si="29"/>
        <v>10.272</v>
      </c>
      <c r="H69" s="585">
        <f t="shared" si="29"/>
        <v>21.654</v>
      </c>
      <c r="I69" s="580">
        <f t="shared" si="29"/>
        <v>19.997999999999998</v>
      </c>
      <c r="J69" s="586">
        <f t="shared" si="29"/>
        <v>35.768000000000001</v>
      </c>
      <c r="K69" s="583">
        <f t="shared" si="29"/>
        <v>24.841999999999999</v>
      </c>
      <c r="L69" s="585">
        <f t="shared" si="29"/>
        <v>39.508000000000003</v>
      </c>
      <c r="M69" s="584">
        <f t="shared" si="29"/>
        <v>34.405999999999999</v>
      </c>
      <c r="P69" s="576"/>
    </row>
    <row r="70" spans="1:16" ht="14.25" hidden="1" x14ac:dyDescent="0.2">
      <c r="A70" s="572">
        <v>3.8</v>
      </c>
      <c r="B70" s="587">
        <v>6.2240000000000002</v>
      </c>
      <c r="C70" s="578">
        <v>3.3740000000000001</v>
      </c>
      <c r="D70" s="585">
        <f t="shared" ref="D70:M70" si="30">(D72-D67)/5*3+D67</f>
        <v>9.072000000000001</v>
      </c>
      <c r="E70" s="580">
        <f t="shared" si="30"/>
        <v>6.3360000000000003</v>
      </c>
      <c r="F70" s="587">
        <f t="shared" si="30"/>
        <v>31.478000000000002</v>
      </c>
      <c r="G70" s="581">
        <f t="shared" si="30"/>
        <v>10.347999999999999</v>
      </c>
      <c r="H70" s="585">
        <f t="shared" si="30"/>
        <v>22.106000000000002</v>
      </c>
      <c r="I70" s="580">
        <f t="shared" si="30"/>
        <v>20.332000000000001</v>
      </c>
      <c r="J70" s="586">
        <f t="shared" si="30"/>
        <v>37.161999999999999</v>
      </c>
      <c r="K70" s="583">
        <f t="shared" si="30"/>
        <v>25.228000000000002</v>
      </c>
      <c r="L70" s="585">
        <f t="shared" si="30"/>
        <v>40.572000000000003</v>
      </c>
      <c r="M70" s="584">
        <f t="shared" si="30"/>
        <v>35.044000000000004</v>
      </c>
      <c r="P70" s="576"/>
    </row>
    <row r="71" spans="1:16" ht="14.25" hidden="1" x14ac:dyDescent="0.2">
      <c r="A71" s="572">
        <v>3.9</v>
      </c>
      <c r="B71" s="587">
        <v>6.5120000000000005</v>
      </c>
      <c r="C71" s="578">
        <v>3.4320000000000004</v>
      </c>
      <c r="D71" s="585">
        <f t="shared" ref="D71:M71" si="31">(D72-D67)/5*4+D67</f>
        <v>9.4760000000000009</v>
      </c>
      <c r="E71" s="580">
        <f t="shared" si="31"/>
        <v>6.4180000000000001</v>
      </c>
      <c r="F71" s="587">
        <f t="shared" si="31"/>
        <v>31.634</v>
      </c>
      <c r="G71" s="581">
        <f t="shared" si="31"/>
        <v>10.423999999999999</v>
      </c>
      <c r="H71" s="585">
        <f t="shared" si="31"/>
        <v>22.558</v>
      </c>
      <c r="I71" s="580">
        <f t="shared" si="31"/>
        <v>20.666</v>
      </c>
      <c r="J71" s="586">
        <f t="shared" si="31"/>
        <v>38.556000000000004</v>
      </c>
      <c r="K71" s="583">
        <f t="shared" si="31"/>
        <v>25.614000000000001</v>
      </c>
      <c r="L71" s="585">
        <f t="shared" si="31"/>
        <v>41.636000000000003</v>
      </c>
      <c r="M71" s="584">
        <f t="shared" si="31"/>
        <v>35.682000000000002</v>
      </c>
      <c r="P71" s="576"/>
    </row>
    <row r="72" spans="1:16" ht="14.25" hidden="1" x14ac:dyDescent="0.2">
      <c r="A72" s="572">
        <v>4</v>
      </c>
      <c r="B72" s="587">
        <v>6.8</v>
      </c>
      <c r="C72" s="578">
        <v>3.49</v>
      </c>
      <c r="D72" s="585">
        <v>9.8800000000000008</v>
      </c>
      <c r="E72" s="580">
        <v>6.5</v>
      </c>
      <c r="F72" s="587">
        <v>31.79</v>
      </c>
      <c r="G72" s="581">
        <v>10.5</v>
      </c>
      <c r="H72" s="585">
        <v>23.01</v>
      </c>
      <c r="I72" s="580">
        <v>21</v>
      </c>
      <c r="J72" s="586">
        <v>39.950000000000003</v>
      </c>
      <c r="K72" s="583">
        <v>26</v>
      </c>
      <c r="L72" s="585">
        <v>42.7</v>
      </c>
      <c r="M72" s="584">
        <v>36.32</v>
      </c>
      <c r="P72" s="576"/>
    </row>
    <row r="73" spans="1:16" ht="14.25" hidden="1" x14ac:dyDescent="0.2">
      <c r="A73" s="572">
        <v>4.0999999999999996</v>
      </c>
      <c r="B73" s="573"/>
      <c r="C73" s="573"/>
      <c r="D73" s="588"/>
      <c r="E73" s="588"/>
      <c r="F73" s="589"/>
      <c r="G73" s="588"/>
      <c r="H73" s="589"/>
      <c r="I73" s="588"/>
      <c r="J73" s="573"/>
      <c r="K73" s="589"/>
      <c r="L73" s="585">
        <f t="shared" ref="L73:M73" si="32">(L77-L72)/5*1+L72</f>
        <v>44.1</v>
      </c>
      <c r="M73" s="584">
        <f t="shared" si="32"/>
        <v>37.055999999999997</v>
      </c>
      <c r="O73" s="576"/>
      <c r="P73" s="576"/>
    </row>
    <row r="74" spans="1:16" ht="14.25" hidden="1" x14ac:dyDescent="0.2">
      <c r="A74" s="572">
        <v>4.2</v>
      </c>
      <c r="B74" s="573"/>
      <c r="C74" s="573"/>
      <c r="D74" s="588"/>
      <c r="E74" s="588"/>
      <c r="F74" s="589"/>
      <c r="G74" s="588"/>
      <c r="H74" s="589"/>
      <c r="I74" s="588"/>
      <c r="J74" s="573"/>
      <c r="K74" s="589"/>
      <c r="L74" s="585">
        <f t="shared" ref="L74:M74" si="33">(L77-L72)/5*2+L72</f>
        <v>45.5</v>
      </c>
      <c r="M74" s="584">
        <f t="shared" si="33"/>
        <v>37.792000000000002</v>
      </c>
      <c r="O74" s="576"/>
      <c r="P74" s="576"/>
    </row>
    <row r="75" spans="1:16" ht="14.25" hidden="1" x14ac:dyDescent="0.2">
      <c r="A75" s="572">
        <v>4.3</v>
      </c>
      <c r="B75" s="573"/>
      <c r="C75" s="573"/>
      <c r="D75" s="588"/>
      <c r="E75" s="588"/>
      <c r="F75" s="589"/>
      <c r="G75" s="588"/>
      <c r="H75" s="589"/>
      <c r="I75" s="588"/>
      <c r="J75" s="573"/>
      <c r="K75" s="589"/>
      <c r="L75" s="585">
        <f t="shared" ref="L75:M75" si="34">(L77-L72)/5*3+L72</f>
        <v>46.900000000000006</v>
      </c>
      <c r="M75" s="584">
        <f t="shared" si="34"/>
        <v>38.527999999999999</v>
      </c>
      <c r="O75" s="576"/>
      <c r="P75" s="576"/>
    </row>
    <row r="76" spans="1:16" ht="14.25" hidden="1" x14ac:dyDescent="0.2">
      <c r="A76" s="572">
        <v>4.4000000000000004</v>
      </c>
      <c r="B76" s="573"/>
      <c r="C76" s="573"/>
      <c r="D76" s="588"/>
      <c r="E76" s="588"/>
      <c r="F76" s="589"/>
      <c r="G76" s="588"/>
      <c r="H76" s="589"/>
      <c r="I76" s="588"/>
      <c r="J76" s="573"/>
      <c r="K76" s="589"/>
      <c r="L76" s="585">
        <f t="shared" ref="L76:M76" si="35">(L77-L72)/5*4+L72</f>
        <v>48.300000000000004</v>
      </c>
      <c r="M76" s="584">
        <f t="shared" si="35"/>
        <v>39.264000000000003</v>
      </c>
      <c r="O76" s="576"/>
      <c r="P76" s="576"/>
    </row>
    <row r="77" spans="1:16" ht="15" hidden="1" thickBot="1" x14ac:dyDescent="0.25">
      <c r="A77" s="590">
        <v>4.5</v>
      </c>
      <c r="B77" s="591"/>
      <c r="C77" s="591"/>
      <c r="D77" s="592"/>
      <c r="E77" s="592"/>
      <c r="F77" s="593"/>
      <c r="G77" s="592"/>
      <c r="H77" s="593"/>
      <c r="I77" s="592"/>
      <c r="J77" s="591"/>
      <c r="K77" s="593"/>
      <c r="L77" s="594">
        <v>49.7</v>
      </c>
      <c r="M77" s="595">
        <v>40</v>
      </c>
      <c r="O77" s="576"/>
      <c r="P77" s="576"/>
    </row>
    <row r="78" spans="1:16" x14ac:dyDescent="0.2">
      <c r="A78" s="596"/>
    </row>
  </sheetData>
  <sheetProtection sheet="1" objects="1" scenarios="1" selectLockedCells="1"/>
  <mergeCells count="22">
    <mergeCell ref="A1:I1"/>
    <mergeCell ref="A2:I2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F30:G30"/>
    <mergeCell ref="H30:I30"/>
    <mergeCell ref="J30:K30"/>
    <mergeCell ref="L30:M30"/>
    <mergeCell ref="B26:C26"/>
    <mergeCell ref="D26:E26"/>
    <mergeCell ref="B27:C27"/>
    <mergeCell ref="D27:E27"/>
    <mergeCell ref="B30:C30"/>
    <mergeCell ref="D30:E3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3382-7B3F-4A49-840E-73A1230B1C3D}">
  <dimension ref="A1:M269"/>
  <sheetViews>
    <sheetView tabSelected="1"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3" width="12.7109375" style="331" customWidth="1"/>
    <col min="14" max="15" width="11.42578125" style="331"/>
    <col min="16" max="16" width="12.5703125" style="331" bestFit="1" customWidth="1"/>
    <col min="17" max="16384" width="11.42578125" style="331"/>
  </cols>
  <sheetData>
    <row r="1" spans="1:9" ht="21" thickTop="1" x14ac:dyDescent="0.3">
      <c r="A1" s="873" t="s">
        <v>727</v>
      </c>
      <c r="B1" s="874"/>
      <c r="C1" s="874"/>
      <c r="D1" s="874"/>
      <c r="E1" s="874"/>
      <c r="F1" s="874"/>
      <c r="G1" s="874"/>
      <c r="H1" s="874"/>
      <c r="I1" s="875"/>
    </row>
    <row r="2" spans="1:9" ht="21" thickBot="1" x14ac:dyDescent="0.35">
      <c r="A2" s="896" t="s">
        <v>680</v>
      </c>
      <c r="B2" s="897"/>
      <c r="C2" s="897"/>
      <c r="D2" s="897"/>
      <c r="E2" s="897"/>
      <c r="F2" s="897"/>
      <c r="G2" s="897"/>
      <c r="H2" s="897"/>
      <c r="I2" s="898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2" t="s">
        <v>681</v>
      </c>
      <c r="C5" s="339">
        <v>10</v>
      </c>
      <c r="D5" s="561" t="s">
        <v>673</v>
      </c>
      <c r="E5" s="556"/>
      <c r="F5" s="556"/>
      <c r="G5" s="556"/>
      <c r="H5" s="556"/>
      <c r="I5" s="558"/>
    </row>
    <row r="6" spans="1:9" x14ac:dyDescent="0.2">
      <c r="A6" s="559"/>
      <c r="B6" s="562" t="s">
        <v>683</v>
      </c>
      <c r="C6" s="339">
        <v>10</v>
      </c>
      <c r="D6" s="557"/>
      <c r="E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63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9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9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9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9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9" ht="38.25" customHeight="1" thickTop="1" x14ac:dyDescent="0.2">
      <c r="A21" s="350" t="s">
        <v>300</v>
      </c>
      <c r="B21" s="945" t="s">
        <v>675</v>
      </c>
      <c r="C21" s="945"/>
      <c r="D21" s="946" t="s">
        <v>728</v>
      </c>
      <c r="E21" s="947"/>
      <c r="F21" s="564"/>
      <c r="G21" s="556"/>
      <c r="H21" s="564"/>
      <c r="I21" s="558"/>
    </row>
    <row r="22" spans="1:9" x14ac:dyDescent="0.2">
      <c r="A22" s="721">
        <v>65</v>
      </c>
      <c r="B22" s="956">
        <f>B127</f>
        <v>94.6</v>
      </c>
      <c r="C22" s="956"/>
      <c r="D22" s="949" t="str">
        <f>IF($C$6&lt;0,"NOT POSSIBLE",IF($C$6&gt;9,"NOT POSSIBLE",((VLOOKUP($C$6,$A$36:$M$227,2)))*(($C$5/100)^0.5)*1))</f>
        <v>NOT POSSIBLE</v>
      </c>
      <c r="E22" s="950"/>
      <c r="F22" s="564"/>
      <c r="G22" s="556"/>
      <c r="H22" s="564"/>
      <c r="I22" s="558"/>
    </row>
    <row r="23" spans="1:9" x14ac:dyDescent="0.2">
      <c r="A23" s="722">
        <v>80</v>
      </c>
      <c r="B23" s="955">
        <f>C127</f>
        <v>119</v>
      </c>
      <c r="C23" s="955"/>
      <c r="D23" s="949" t="str">
        <f>IF($C$6&lt;0,"NOT POSSIBLE",IF($C$6&gt;9,"NOT POSSIBLE",((VLOOKUP($C$6,$A$36:$M$227,3)))*(($C$5/100)^0.5)*1))</f>
        <v>NOT POSSIBLE</v>
      </c>
      <c r="E23" s="950"/>
      <c r="F23" s="564"/>
      <c r="G23" s="556"/>
      <c r="H23" s="564"/>
      <c r="I23" s="558"/>
    </row>
    <row r="24" spans="1:9" x14ac:dyDescent="0.2">
      <c r="A24" s="721">
        <v>100</v>
      </c>
      <c r="B24" s="948">
        <f>D127</f>
        <v>215</v>
      </c>
      <c r="C24" s="948"/>
      <c r="D24" s="949" t="str">
        <f>IF($C$6&lt;0,"NOT POSSIBLE",IF($C$6&gt;9,"NOT POSSIBLE",((VLOOKUP($C$6,$A$36:$M$227,4)))*(($C$5/100)^0.5)*1))</f>
        <v>NOT POSSIBLE</v>
      </c>
      <c r="E24" s="950"/>
      <c r="F24" s="564"/>
      <c r="G24" s="556"/>
      <c r="H24" s="564"/>
      <c r="I24" s="558"/>
    </row>
    <row r="25" spans="1:9" x14ac:dyDescent="0.2">
      <c r="A25" s="722">
        <v>125</v>
      </c>
      <c r="B25" s="954">
        <f>E127</f>
        <v>289</v>
      </c>
      <c r="C25" s="954"/>
      <c r="D25" s="949" t="str">
        <f>IF($C$6&lt;0,"NOT POSSIBLE",IF($C$6&gt;9,"NOT POSSIBLE",((VLOOKUP($C$6,$A$36:$M$227,5)))*(($C$5/100)^0.5)*1))</f>
        <v>NOT POSSIBLE</v>
      </c>
      <c r="E25" s="950"/>
      <c r="F25" s="564"/>
      <c r="G25" s="556"/>
      <c r="H25" s="564"/>
      <c r="I25" s="558"/>
    </row>
    <row r="26" spans="1:9" x14ac:dyDescent="0.2">
      <c r="A26" s="721">
        <v>150</v>
      </c>
      <c r="B26" s="948">
        <f>F127</f>
        <v>403</v>
      </c>
      <c r="C26" s="948"/>
      <c r="D26" s="949" t="str">
        <f>IF($C$6&lt;0,"NOT POSSIBLE",IF($C$6&gt;9,"NOT POSSIBLE",((VLOOKUP($C$6,$A$36:$M$227,6)))*(($C$5/100)^0.5)*1))</f>
        <v>NOT POSSIBLE</v>
      </c>
      <c r="E26" s="950"/>
      <c r="F26" s="564"/>
      <c r="G26" s="556"/>
      <c r="H26" s="564"/>
      <c r="I26" s="558"/>
    </row>
    <row r="27" spans="1:9" x14ac:dyDescent="0.2">
      <c r="A27" s="722">
        <v>200</v>
      </c>
      <c r="B27" s="954">
        <f>G137</f>
        <v>852</v>
      </c>
      <c r="C27" s="954"/>
      <c r="D27" s="949">
        <f>IF($C$6&lt;0,"NOT POSSIBLE",IF($C$6&gt;10,"NOT POSSIBLE",((VLOOKUP($C$6,$A$36:$M$227,7)))*(($C$5/100)^0.5)*1))</f>
        <v>269.4260566463459</v>
      </c>
      <c r="E27" s="950"/>
      <c r="F27" s="564"/>
      <c r="G27" s="556"/>
      <c r="H27" s="564"/>
      <c r="I27" s="558"/>
    </row>
    <row r="28" spans="1:9" x14ac:dyDescent="0.2">
      <c r="A28" s="721">
        <v>250</v>
      </c>
      <c r="B28" s="948">
        <f>H157</f>
        <v>1240</v>
      </c>
      <c r="C28" s="948"/>
      <c r="D28" s="949">
        <f>IF($C$6&lt;0,"NOT POSSIBLE",IF($C$6&gt;12,"NOT POSSIBLE",((VLOOKUP($C$6,$A$36:$M$227,8)))*(($C$5/100)^0.5)*1))</f>
        <v>325.7145989973431</v>
      </c>
      <c r="E28" s="950"/>
      <c r="F28" s="564"/>
      <c r="G28" s="556"/>
      <c r="H28" s="564"/>
      <c r="I28" s="558"/>
    </row>
    <row r="29" spans="1:9" x14ac:dyDescent="0.2">
      <c r="A29" s="722">
        <v>300</v>
      </c>
      <c r="B29" s="954">
        <f>I167</f>
        <v>1420</v>
      </c>
      <c r="C29" s="954"/>
      <c r="D29" s="949">
        <f>IF($C$6&lt;0,"NOT POSSIBLE",IF($C$6&gt;13,"NOT POSSIBLE",((VLOOKUP($C$6,$A$36:$M$227,9)))*(($C$5/100)^0.5)*1))</f>
        <v>325.7145989973431</v>
      </c>
      <c r="E29" s="950"/>
      <c r="F29" s="564"/>
      <c r="G29" s="556"/>
      <c r="H29" s="564"/>
      <c r="I29" s="558"/>
    </row>
    <row r="30" spans="1:9" x14ac:dyDescent="0.2">
      <c r="A30" s="721">
        <v>350</v>
      </c>
      <c r="B30" s="948">
        <f>J227</f>
        <v>2085</v>
      </c>
      <c r="C30" s="948"/>
      <c r="D30" s="949">
        <f>IF($C$6&lt;0,"NOT POSSIBLE",IF($C$6&gt;19,"NOT POSSIBLE",((VLOOKUP($C$6,$A$36:$M$227,10)))*(($C$5/100)^0.5)*1))</f>
        <v>325.17443336425384</v>
      </c>
      <c r="E30" s="950"/>
      <c r="F30" s="564"/>
      <c r="G30" s="556"/>
      <c r="H30" s="564"/>
      <c r="I30" s="558"/>
    </row>
    <row r="31" spans="1:9" x14ac:dyDescent="0.2">
      <c r="A31" s="722">
        <v>400</v>
      </c>
      <c r="B31" s="954">
        <f>K227</f>
        <v>2189</v>
      </c>
      <c r="C31" s="954"/>
      <c r="D31" s="949">
        <f>IF($C$6&lt;0,"NOT POSSIBLE",IF($C$6&gt;19,"NOT POSSIBLE",((VLOOKUP($C$6,$A$36:$M$227,11)))*(($C$5/100)^0.5)*1))</f>
        <v>361.72001130557931</v>
      </c>
      <c r="E31" s="950"/>
      <c r="F31" s="564"/>
      <c r="G31" s="556"/>
      <c r="H31" s="564"/>
      <c r="I31" s="558"/>
    </row>
    <row r="32" spans="1:9" x14ac:dyDescent="0.2">
      <c r="A32" s="721">
        <v>450</v>
      </c>
      <c r="B32" s="948">
        <f>L227</f>
        <v>2526</v>
      </c>
      <c r="C32" s="948"/>
      <c r="D32" s="949">
        <f>IF($C$6&lt;0,"NOT POSSIBLE",IF($C$6&gt;19,"NOT POSSIBLE",((VLOOKUP($C$6,$A$36:$M$227,12)))*(($C$5/100)^0.5)*1))</f>
        <v>456.18666938794701</v>
      </c>
      <c r="E32" s="950"/>
      <c r="F32" s="564"/>
      <c r="G32" s="556"/>
      <c r="H32" s="564"/>
      <c r="I32" s="558"/>
    </row>
    <row r="33" spans="1:13" ht="13.5" thickBot="1" x14ac:dyDescent="0.25">
      <c r="A33" s="720">
        <v>500</v>
      </c>
      <c r="B33" s="951">
        <f>M227</f>
        <v>3381</v>
      </c>
      <c r="C33" s="951"/>
      <c r="D33" s="952">
        <f>IF($C$6&lt;0,"NOT POSSIBLE",IF($C$6&gt;19,"NOT POSSIBLE",((VLOOKUP($C$6,$A$36:$M$227,13)))*(($C$5/100)^0.5)*1))</f>
        <v>554.37033318888291</v>
      </c>
      <c r="E33" s="953"/>
      <c r="F33" s="718"/>
      <c r="G33" s="719"/>
      <c r="H33" s="718"/>
      <c r="I33" s="569"/>
    </row>
    <row r="34" spans="1:13" ht="13.5" thickTop="1" x14ac:dyDescent="0.2">
      <c r="A34" s="570"/>
      <c r="B34" s="570"/>
      <c r="D34" s="333"/>
      <c r="E34" s="333"/>
      <c r="F34" s="333"/>
    </row>
    <row r="35" spans="1:13" ht="13.5" hidden="1" thickTop="1" x14ac:dyDescent="0.2">
      <c r="A35" s="723"/>
      <c r="B35" s="712" t="s">
        <v>652</v>
      </c>
      <c r="C35" s="712" t="s">
        <v>653</v>
      </c>
      <c r="D35" s="712" t="s">
        <v>654</v>
      </c>
      <c r="E35" s="712" t="s">
        <v>655</v>
      </c>
      <c r="F35" s="712" t="s">
        <v>656</v>
      </c>
      <c r="G35" s="712" t="s">
        <v>657</v>
      </c>
      <c r="H35" s="712" t="s">
        <v>658</v>
      </c>
      <c r="I35" s="712" t="s">
        <v>659</v>
      </c>
      <c r="J35" s="712" t="s">
        <v>660</v>
      </c>
      <c r="K35" s="712" t="s">
        <v>661</v>
      </c>
      <c r="L35" s="712" t="s">
        <v>662</v>
      </c>
      <c r="M35" s="724" t="s">
        <v>663</v>
      </c>
    </row>
    <row r="36" spans="1:13" hidden="1" x14ac:dyDescent="0.2">
      <c r="A36" s="713" t="s">
        <v>678</v>
      </c>
      <c r="B36" s="714" t="s">
        <v>664</v>
      </c>
      <c r="C36" s="714" t="s">
        <v>664</v>
      </c>
      <c r="D36" s="714" t="s">
        <v>664</v>
      </c>
      <c r="E36" s="714" t="s">
        <v>664</v>
      </c>
      <c r="F36" s="714" t="s">
        <v>664</v>
      </c>
      <c r="G36" s="714" t="s">
        <v>664</v>
      </c>
      <c r="H36" s="714" t="s">
        <v>664</v>
      </c>
      <c r="I36" s="714" t="s">
        <v>664</v>
      </c>
      <c r="J36" s="714" t="s">
        <v>664</v>
      </c>
      <c r="K36" s="714" t="s">
        <v>664</v>
      </c>
      <c r="L36" s="714" t="s">
        <v>664</v>
      </c>
      <c r="M36" s="725" t="s">
        <v>664</v>
      </c>
    </row>
    <row r="37" spans="1:13" hidden="1" x14ac:dyDescent="0.2">
      <c r="A37" s="713">
        <v>0</v>
      </c>
      <c r="B37" s="689">
        <v>0</v>
      </c>
      <c r="C37" s="689">
        <v>0</v>
      </c>
      <c r="D37" s="689">
        <v>0</v>
      </c>
      <c r="E37" s="689">
        <v>0</v>
      </c>
      <c r="F37" s="689">
        <v>0</v>
      </c>
      <c r="G37" s="689">
        <v>0</v>
      </c>
      <c r="H37" s="689">
        <v>0</v>
      </c>
      <c r="I37" s="689">
        <v>0</v>
      </c>
      <c r="J37" s="715">
        <v>0</v>
      </c>
      <c r="K37" s="715">
        <v>0</v>
      </c>
      <c r="L37" s="715">
        <v>0</v>
      </c>
      <c r="M37" s="726">
        <v>0</v>
      </c>
    </row>
    <row r="38" spans="1:13" hidden="1" x14ac:dyDescent="0.2">
      <c r="A38" s="713">
        <v>0.1</v>
      </c>
      <c r="B38" s="689">
        <f t="shared" ref="B38:H38" si="0">(B47-B37)/10*1+B37</f>
        <v>0.3</v>
      </c>
      <c r="C38" s="689">
        <f t="shared" si="0"/>
        <v>0.57000000000000006</v>
      </c>
      <c r="D38" s="689">
        <f t="shared" si="0"/>
        <v>0.9</v>
      </c>
      <c r="E38" s="689">
        <f t="shared" si="0"/>
        <v>0.97</v>
      </c>
      <c r="F38" s="689">
        <f t="shared" si="0"/>
        <v>1.41</v>
      </c>
      <c r="G38" s="699">
        <f t="shared" si="0"/>
        <v>4.84</v>
      </c>
      <c r="H38" s="699">
        <f t="shared" si="0"/>
        <v>6.99</v>
      </c>
      <c r="I38" s="699">
        <f>(I42-I37)/5*1+I37</f>
        <v>9.36</v>
      </c>
      <c r="J38" s="715">
        <f>(J47-J37)/10*1+J37</f>
        <v>16.899071525688534</v>
      </c>
      <c r="K38" s="715">
        <f>(K47-K37)/10*1+K37</f>
        <v>23.240399918633194</v>
      </c>
      <c r="L38" s="715">
        <f>(L47-L37)/10*1+L37</f>
        <v>25.453626361333242</v>
      </c>
      <c r="M38" s="726">
        <f>(M47-M37)/10*1+M37</f>
        <v>32.157766276148379</v>
      </c>
    </row>
    <row r="39" spans="1:13" hidden="1" x14ac:dyDescent="0.2">
      <c r="A39" s="713">
        <v>0.2</v>
      </c>
      <c r="B39" s="689">
        <f t="shared" ref="B39:H39" si="1">(B47-B37)/10*2+B37</f>
        <v>0.6</v>
      </c>
      <c r="C39" s="689">
        <f t="shared" si="1"/>
        <v>1.1400000000000001</v>
      </c>
      <c r="D39" s="689">
        <f t="shared" si="1"/>
        <v>1.8</v>
      </c>
      <c r="E39" s="689">
        <f t="shared" si="1"/>
        <v>1.94</v>
      </c>
      <c r="F39" s="699">
        <f t="shared" si="1"/>
        <v>2.82</v>
      </c>
      <c r="G39" s="699">
        <f t="shared" si="1"/>
        <v>9.68</v>
      </c>
      <c r="H39" s="699">
        <f t="shared" si="1"/>
        <v>13.98</v>
      </c>
      <c r="I39" s="699">
        <f>(I42-I37)/5*2+I37</f>
        <v>18.72</v>
      </c>
      <c r="J39" s="715">
        <f>(J47-J37)/10*2+J37</f>
        <v>33.798143051377068</v>
      </c>
      <c r="K39" s="715">
        <f>(K47-K37)/10*2+K37</f>
        <v>46.480799837266389</v>
      </c>
      <c r="L39" s="715">
        <f>(L47-L37)/10*2+L37</f>
        <v>50.907252722666485</v>
      </c>
      <c r="M39" s="726">
        <f>(M47-M37)/10*2+M37</f>
        <v>64.315532552296759</v>
      </c>
    </row>
    <row r="40" spans="1:13" hidden="1" x14ac:dyDescent="0.2">
      <c r="A40" s="713">
        <v>0.3</v>
      </c>
      <c r="B40" s="689">
        <f t="shared" ref="B40:H40" si="2">(B47-B37)/10*3+B37</f>
        <v>0.89999999999999991</v>
      </c>
      <c r="C40" s="689">
        <f t="shared" si="2"/>
        <v>1.7100000000000002</v>
      </c>
      <c r="D40" s="689">
        <f t="shared" si="2"/>
        <v>2.7</v>
      </c>
      <c r="E40" s="689">
        <f t="shared" si="2"/>
        <v>2.91</v>
      </c>
      <c r="F40" s="699">
        <f t="shared" si="2"/>
        <v>4.2299999999999995</v>
      </c>
      <c r="G40" s="699">
        <f t="shared" si="2"/>
        <v>14.52</v>
      </c>
      <c r="H40" s="699">
        <f t="shared" si="2"/>
        <v>20.97</v>
      </c>
      <c r="I40" s="699">
        <f>(I42-I37)/5*3+I37</f>
        <v>28.08</v>
      </c>
      <c r="J40" s="715">
        <f>(J47-J37)/10*3+J37</f>
        <v>50.697214577065601</v>
      </c>
      <c r="K40" s="715">
        <f>(K47-K37)/10*3+K37</f>
        <v>69.72119975589959</v>
      </c>
      <c r="L40" s="715">
        <f>(L47-L37)/10*3+L37</f>
        <v>76.36087908399972</v>
      </c>
      <c r="M40" s="726">
        <f>(M47-M37)/10*3+M37</f>
        <v>96.473298828445138</v>
      </c>
    </row>
    <row r="41" spans="1:13" hidden="1" x14ac:dyDescent="0.2">
      <c r="A41" s="713">
        <v>0.4</v>
      </c>
      <c r="B41" s="689">
        <f t="shared" ref="B41:H41" si="3">(B47-B37)/10*4+B37</f>
        <v>1.2</v>
      </c>
      <c r="C41" s="689">
        <f t="shared" si="3"/>
        <v>2.2800000000000002</v>
      </c>
      <c r="D41" s="689">
        <f t="shared" si="3"/>
        <v>3.6</v>
      </c>
      <c r="E41" s="689">
        <f t="shared" si="3"/>
        <v>3.88</v>
      </c>
      <c r="F41" s="699">
        <f t="shared" si="3"/>
        <v>5.64</v>
      </c>
      <c r="G41" s="699">
        <f t="shared" si="3"/>
        <v>19.36</v>
      </c>
      <c r="H41" s="699">
        <f t="shared" si="3"/>
        <v>27.96</v>
      </c>
      <c r="I41" s="699">
        <f>(I42-I37)/5*4+I37</f>
        <v>37.44</v>
      </c>
      <c r="J41" s="715">
        <f>(J47-J37)/10*4+J37</f>
        <v>67.596286102754135</v>
      </c>
      <c r="K41" s="715">
        <f>(K47-K37)/10*4+K37</f>
        <v>92.961599674532778</v>
      </c>
      <c r="L41" s="715">
        <f>(L47-L37)/10*4+L37</f>
        <v>101.81450544533297</v>
      </c>
      <c r="M41" s="726">
        <f>(M47-M37)/10*4+M37</f>
        <v>128.63106510459352</v>
      </c>
    </row>
    <row r="42" spans="1:13" hidden="1" x14ac:dyDescent="0.2">
      <c r="A42" s="713">
        <v>0.5</v>
      </c>
      <c r="B42" s="689">
        <f t="shared" ref="B42:H42" si="4">(B47-B37)/10*5+B37</f>
        <v>1.5</v>
      </c>
      <c r="C42" s="689">
        <f t="shared" si="4"/>
        <v>2.8500000000000005</v>
      </c>
      <c r="D42" s="689">
        <f t="shared" si="4"/>
        <v>4.5</v>
      </c>
      <c r="E42" s="689">
        <f t="shared" si="4"/>
        <v>4.8499999999999996</v>
      </c>
      <c r="F42" s="699">
        <f t="shared" si="4"/>
        <v>7.05</v>
      </c>
      <c r="G42" s="699">
        <f t="shared" si="4"/>
        <v>24.2</v>
      </c>
      <c r="H42" s="699">
        <f t="shared" si="4"/>
        <v>34.950000000000003</v>
      </c>
      <c r="I42" s="699">
        <v>46.8</v>
      </c>
      <c r="J42" s="715">
        <f>(J47-J37)/10*5+J37</f>
        <v>84.495357628442662</v>
      </c>
      <c r="K42" s="715">
        <f>(K47-K37)/10*5+K37</f>
        <v>116.20199959316597</v>
      </c>
      <c r="L42" s="715">
        <f>(L47-L37)/10*5+L37</f>
        <v>127.26813180666622</v>
      </c>
      <c r="M42" s="726">
        <f>(M47-M37)/10*5+M37</f>
        <v>160.7888313807419</v>
      </c>
    </row>
    <row r="43" spans="1:13" hidden="1" x14ac:dyDescent="0.2">
      <c r="A43" s="713">
        <v>0.6</v>
      </c>
      <c r="B43" s="689">
        <f t="shared" ref="B43:H43" si="5">(B47-B37)/10*6+B37</f>
        <v>1.7999999999999998</v>
      </c>
      <c r="C43" s="689">
        <f t="shared" si="5"/>
        <v>3.4200000000000004</v>
      </c>
      <c r="D43" s="689">
        <f t="shared" si="5"/>
        <v>5.4</v>
      </c>
      <c r="E43" s="689">
        <f t="shared" si="5"/>
        <v>5.82</v>
      </c>
      <c r="F43" s="699">
        <f t="shared" si="5"/>
        <v>8.4599999999999991</v>
      </c>
      <c r="G43" s="699">
        <f t="shared" si="5"/>
        <v>29.04</v>
      </c>
      <c r="H43" s="699">
        <f t="shared" si="5"/>
        <v>41.94</v>
      </c>
      <c r="I43" s="699">
        <f>(I47-I42)/5*1+I42</f>
        <v>49.059999999999995</v>
      </c>
      <c r="J43" s="715">
        <f>(J47-J37)/10*6+J37</f>
        <v>101.3944291541312</v>
      </c>
      <c r="K43" s="715">
        <f>(K47-K37)/10*6+K37</f>
        <v>139.44239951179918</v>
      </c>
      <c r="L43" s="715">
        <f>(L47-L37)/10*6+L37</f>
        <v>152.72175816799944</v>
      </c>
      <c r="M43" s="726">
        <f>(M47-M37)/10*6+M37</f>
        <v>192.94659765689028</v>
      </c>
    </row>
    <row r="44" spans="1:13" hidden="1" x14ac:dyDescent="0.2">
      <c r="A44" s="713">
        <v>0.7</v>
      </c>
      <c r="B44" s="689">
        <f t="shared" ref="B44:H44" si="6">(B47-B37)/10*7+B37</f>
        <v>2.1</v>
      </c>
      <c r="C44" s="689">
        <f t="shared" si="6"/>
        <v>3.99</v>
      </c>
      <c r="D44" s="689">
        <f t="shared" si="6"/>
        <v>6.3</v>
      </c>
      <c r="E44" s="689">
        <f t="shared" si="6"/>
        <v>6.79</v>
      </c>
      <c r="F44" s="699">
        <f t="shared" si="6"/>
        <v>9.8699999999999992</v>
      </c>
      <c r="G44" s="699">
        <f t="shared" si="6"/>
        <v>33.879999999999995</v>
      </c>
      <c r="H44" s="699">
        <f t="shared" si="6"/>
        <v>48.93</v>
      </c>
      <c r="I44" s="699">
        <f>(I47-I42)/5*2+I42</f>
        <v>51.32</v>
      </c>
      <c r="J44" s="715">
        <f>(J47-J37)/10*7+J37</f>
        <v>118.29350067981974</v>
      </c>
      <c r="K44" s="715">
        <f>(K47-K37)/10*7+K37</f>
        <v>162.68279943043237</v>
      </c>
      <c r="L44" s="715">
        <f>(L47-L37)/10*7+L37</f>
        <v>178.17538452933269</v>
      </c>
      <c r="M44" s="726">
        <f>(M47-M37)/10*7+M37</f>
        <v>225.10436393303866</v>
      </c>
    </row>
    <row r="45" spans="1:13" hidden="1" x14ac:dyDescent="0.2">
      <c r="A45" s="713">
        <v>0.8</v>
      </c>
      <c r="B45" s="689">
        <f t="shared" ref="B45:H45" si="7">(B47-B37)/10*8+B37</f>
        <v>2.4</v>
      </c>
      <c r="C45" s="689">
        <f t="shared" si="7"/>
        <v>4.5600000000000005</v>
      </c>
      <c r="D45" s="689">
        <f t="shared" si="7"/>
        <v>7.2</v>
      </c>
      <c r="E45" s="689">
        <f t="shared" si="7"/>
        <v>7.76</v>
      </c>
      <c r="F45" s="699">
        <f t="shared" si="7"/>
        <v>11.28</v>
      </c>
      <c r="G45" s="699">
        <f t="shared" si="7"/>
        <v>38.72</v>
      </c>
      <c r="H45" s="699">
        <f t="shared" si="7"/>
        <v>55.92</v>
      </c>
      <c r="I45" s="699">
        <f>(I47-I42)/5*3+I42</f>
        <v>53.58</v>
      </c>
      <c r="J45" s="715">
        <f>(J47-J37)/10*8+J37</f>
        <v>135.19257220550827</v>
      </c>
      <c r="K45" s="715">
        <f>(K47-K37)/10*8+K37</f>
        <v>185.92319934906556</v>
      </c>
      <c r="L45" s="715">
        <f>(L47-L37)/10*8+L37</f>
        <v>203.62901089066594</v>
      </c>
      <c r="M45" s="726">
        <f>(M47-M37)/10*8+M37</f>
        <v>257.26213020918703</v>
      </c>
    </row>
    <row r="46" spans="1:13" hidden="1" x14ac:dyDescent="0.2">
      <c r="A46" s="713">
        <v>0.9</v>
      </c>
      <c r="B46" s="689">
        <f t="shared" ref="B46:H46" si="8">(B47-B37)/10*9+B37</f>
        <v>2.6999999999999997</v>
      </c>
      <c r="C46" s="689">
        <f t="shared" si="8"/>
        <v>5.1300000000000008</v>
      </c>
      <c r="D46" s="689">
        <f t="shared" si="8"/>
        <v>8.1</v>
      </c>
      <c r="E46" s="689">
        <f t="shared" si="8"/>
        <v>8.73</v>
      </c>
      <c r="F46" s="699">
        <f t="shared" si="8"/>
        <v>12.69</v>
      </c>
      <c r="G46" s="699">
        <f t="shared" si="8"/>
        <v>43.56</v>
      </c>
      <c r="H46" s="699">
        <f t="shared" si="8"/>
        <v>62.910000000000004</v>
      </c>
      <c r="I46" s="699">
        <f>(I47-I42)/5*4+I42</f>
        <v>55.84</v>
      </c>
      <c r="J46" s="715">
        <f>(J47-J37)/10*9+J37</f>
        <v>152.0916437311968</v>
      </c>
      <c r="K46" s="715">
        <f>(K47-K37)/10*9+K37</f>
        <v>209.16359926769874</v>
      </c>
      <c r="L46" s="715">
        <f>(L47-L37)/10*9+L37</f>
        <v>229.08263725199919</v>
      </c>
      <c r="M46" s="726">
        <f>(M47-M37)/10*9+M37</f>
        <v>289.41989648533541</v>
      </c>
    </row>
    <row r="47" spans="1:13" ht="15" hidden="1" x14ac:dyDescent="0.25">
      <c r="A47" s="713">
        <v>1</v>
      </c>
      <c r="B47" s="689">
        <v>3</v>
      </c>
      <c r="C47" s="700">
        <v>5.7</v>
      </c>
      <c r="D47" s="701">
        <v>9</v>
      </c>
      <c r="E47" s="701">
        <v>9.6999999999999993</v>
      </c>
      <c r="F47" s="702">
        <v>14.1</v>
      </c>
      <c r="G47" s="699">
        <v>48.4</v>
      </c>
      <c r="H47" s="703">
        <v>69.900000000000006</v>
      </c>
      <c r="I47" s="699">
        <v>58.1</v>
      </c>
      <c r="J47" s="715">
        <v>168.99071525688535</v>
      </c>
      <c r="K47" s="715">
        <v>232.40399918633193</v>
      </c>
      <c r="L47" s="715">
        <v>254.53626361333244</v>
      </c>
      <c r="M47" s="726">
        <v>321.57766276148379</v>
      </c>
    </row>
    <row r="48" spans="1:13" hidden="1" x14ac:dyDescent="0.2">
      <c r="A48" s="713">
        <v>1.1000000000000001</v>
      </c>
      <c r="B48" s="689">
        <f t="shared" ref="B48:M48" si="9">(B57-B47)/10*1+B47</f>
        <v>3.62</v>
      </c>
      <c r="C48" s="689">
        <f t="shared" si="9"/>
        <v>6.1400000000000006</v>
      </c>
      <c r="D48" s="699">
        <f t="shared" si="9"/>
        <v>10.28</v>
      </c>
      <c r="E48" s="699">
        <f t="shared" si="9"/>
        <v>10.92</v>
      </c>
      <c r="F48" s="699">
        <f t="shared" si="9"/>
        <v>16.989999999999998</v>
      </c>
      <c r="G48" s="699">
        <f t="shared" si="9"/>
        <v>54.96</v>
      </c>
      <c r="H48" s="699">
        <f t="shared" si="9"/>
        <v>78.410000000000011</v>
      </c>
      <c r="I48" s="699">
        <f t="shared" si="9"/>
        <v>65.990000000000009</v>
      </c>
      <c r="J48" s="715">
        <f t="shared" si="9"/>
        <v>181.89494603821541</v>
      </c>
      <c r="K48" s="715">
        <f t="shared" si="9"/>
        <v>247.53871798920323</v>
      </c>
      <c r="L48" s="715">
        <f t="shared" si="9"/>
        <v>269.2989202128702</v>
      </c>
      <c r="M48" s="726">
        <f t="shared" si="9"/>
        <v>345.9495368534138</v>
      </c>
    </row>
    <row r="49" spans="1:13" hidden="1" x14ac:dyDescent="0.2">
      <c r="A49" s="713">
        <v>1.2</v>
      </c>
      <c r="B49" s="689">
        <f t="shared" ref="B49:M49" si="10">(B57-B47)/10*2+B47</f>
        <v>4.24</v>
      </c>
      <c r="C49" s="689">
        <f t="shared" si="10"/>
        <v>6.58</v>
      </c>
      <c r="D49" s="699">
        <f t="shared" si="10"/>
        <v>11.56</v>
      </c>
      <c r="E49" s="699">
        <f t="shared" si="10"/>
        <v>12.139999999999999</v>
      </c>
      <c r="F49" s="699">
        <f t="shared" si="10"/>
        <v>19.88</v>
      </c>
      <c r="G49" s="699">
        <f t="shared" si="10"/>
        <v>61.519999999999996</v>
      </c>
      <c r="H49" s="699">
        <f t="shared" si="10"/>
        <v>86.92</v>
      </c>
      <c r="I49" s="699">
        <f t="shared" si="10"/>
        <v>73.88</v>
      </c>
      <c r="J49" s="715">
        <f t="shared" si="10"/>
        <v>194.79917681954547</v>
      </c>
      <c r="K49" s="715">
        <f t="shared" si="10"/>
        <v>262.67343679207454</v>
      </c>
      <c r="L49" s="715">
        <f t="shared" si="10"/>
        <v>284.06157681240791</v>
      </c>
      <c r="M49" s="726">
        <f t="shared" si="10"/>
        <v>370.32141094534381</v>
      </c>
    </row>
    <row r="50" spans="1:13" hidden="1" x14ac:dyDescent="0.2">
      <c r="A50" s="713">
        <v>1.3</v>
      </c>
      <c r="B50" s="689">
        <f t="shared" ref="B50:M50" si="11">(B57-B47)/10*3+B47</f>
        <v>4.8599999999999994</v>
      </c>
      <c r="C50" s="689">
        <f t="shared" si="11"/>
        <v>7.02</v>
      </c>
      <c r="D50" s="699">
        <f t="shared" si="11"/>
        <v>12.84</v>
      </c>
      <c r="E50" s="699">
        <f t="shared" si="11"/>
        <v>13.36</v>
      </c>
      <c r="F50" s="699">
        <f t="shared" si="11"/>
        <v>22.769999999999996</v>
      </c>
      <c r="G50" s="699">
        <f t="shared" si="11"/>
        <v>68.08</v>
      </c>
      <c r="H50" s="699">
        <f t="shared" si="11"/>
        <v>95.43</v>
      </c>
      <c r="I50" s="699">
        <f t="shared" si="11"/>
        <v>81.77000000000001</v>
      </c>
      <c r="J50" s="715">
        <f t="shared" si="11"/>
        <v>207.70340760087555</v>
      </c>
      <c r="K50" s="715">
        <f t="shared" si="11"/>
        <v>277.80815559494584</v>
      </c>
      <c r="L50" s="715">
        <f t="shared" si="11"/>
        <v>298.82423341194567</v>
      </c>
      <c r="M50" s="726">
        <f t="shared" si="11"/>
        <v>394.69328503727388</v>
      </c>
    </row>
    <row r="51" spans="1:13" hidden="1" x14ac:dyDescent="0.2">
      <c r="A51" s="713">
        <v>1.4</v>
      </c>
      <c r="B51" s="689">
        <f t="shared" ref="B51:M51" si="12">(B57-B47)/10*4+B47</f>
        <v>5.4799999999999995</v>
      </c>
      <c r="C51" s="689">
        <f t="shared" si="12"/>
        <v>7.46</v>
      </c>
      <c r="D51" s="699">
        <f t="shared" si="12"/>
        <v>14.120000000000001</v>
      </c>
      <c r="E51" s="699">
        <f t="shared" si="12"/>
        <v>14.579999999999998</v>
      </c>
      <c r="F51" s="699">
        <f t="shared" si="12"/>
        <v>25.659999999999997</v>
      </c>
      <c r="G51" s="699">
        <f t="shared" si="12"/>
        <v>74.64</v>
      </c>
      <c r="H51" s="704">
        <f t="shared" si="12"/>
        <v>103.94</v>
      </c>
      <c r="I51" s="699">
        <f t="shared" si="12"/>
        <v>89.66</v>
      </c>
      <c r="J51" s="715">
        <f t="shared" si="12"/>
        <v>220.60763838220561</v>
      </c>
      <c r="K51" s="715">
        <f t="shared" si="12"/>
        <v>292.94287439781715</v>
      </c>
      <c r="L51" s="715">
        <f t="shared" si="12"/>
        <v>313.58689001148343</v>
      </c>
      <c r="M51" s="726">
        <f t="shared" si="12"/>
        <v>419.06515912920389</v>
      </c>
    </row>
    <row r="52" spans="1:13" hidden="1" x14ac:dyDescent="0.2">
      <c r="A52" s="713">
        <v>1.5</v>
      </c>
      <c r="B52" s="689">
        <f t="shared" ref="B52:M52" si="13">(B57-B47)/10*5+B47</f>
        <v>6.1</v>
      </c>
      <c r="C52" s="689">
        <f t="shared" si="13"/>
        <v>7.9</v>
      </c>
      <c r="D52" s="699">
        <f t="shared" si="13"/>
        <v>15.4</v>
      </c>
      <c r="E52" s="699">
        <f t="shared" si="13"/>
        <v>15.799999999999999</v>
      </c>
      <c r="F52" s="699">
        <f t="shared" si="13"/>
        <v>28.549999999999997</v>
      </c>
      <c r="G52" s="699">
        <f t="shared" si="13"/>
        <v>81.199999999999989</v>
      </c>
      <c r="H52" s="704">
        <f t="shared" si="13"/>
        <v>112.45</v>
      </c>
      <c r="I52" s="699">
        <f t="shared" si="13"/>
        <v>97.550000000000011</v>
      </c>
      <c r="J52" s="715">
        <f t="shared" si="13"/>
        <v>233.51186916353566</v>
      </c>
      <c r="K52" s="715">
        <f t="shared" si="13"/>
        <v>308.0775932006884</v>
      </c>
      <c r="L52" s="715">
        <f t="shared" si="13"/>
        <v>328.3495466110212</v>
      </c>
      <c r="M52" s="726">
        <f t="shared" si="13"/>
        <v>443.4370332211339</v>
      </c>
    </row>
    <row r="53" spans="1:13" hidden="1" x14ac:dyDescent="0.2">
      <c r="A53" s="713">
        <v>1.6</v>
      </c>
      <c r="B53" s="689">
        <f t="shared" ref="B53:M53" si="14">(B57-B47)/10*6+B47</f>
        <v>6.7199999999999989</v>
      </c>
      <c r="C53" s="689">
        <f t="shared" si="14"/>
        <v>8.34</v>
      </c>
      <c r="D53" s="699">
        <f t="shared" si="14"/>
        <v>16.68</v>
      </c>
      <c r="E53" s="699">
        <f t="shared" si="14"/>
        <v>17.02</v>
      </c>
      <c r="F53" s="699">
        <f t="shared" si="14"/>
        <v>31.439999999999998</v>
      </c>
      <c r="G53" s="699">
        <f t="shared" si="14"/>
        <v>87.759999999999991</v>
      </c>
      <c r="H53" s="704">
        <f t="shared" si="14"/>
        <v>120.96000000000001</v>
      </c>
      <c r="I53" s="704">
        <f t="shared" si="14"/>
        <v>105.44</v>
      </c>
      <c r="J53" s="715">
        <f t="shared" si="14"/>
        <v>246.41609994486572</v>
      </c>
      <c r="K53" s="715">
        <f t="shared" si="14"/>
        <v>323.21231200355976</v>
      </c>
      <c r="L53" s="715">
        <f t="shared" si="14"/>
        <v>343.1122032105589</v>
      </c>
      <c r="M53" s="726">
        <f t="shared" si="14"/>
        <v>467.80890731306391</v>
      </c>
    </row>
    <row r="54" spans="1:13" hidden="1" x14ac:dyDescent="0.2">
      <c r="A54" s="713">
        <v>1.7</v>
      </c>
      <c r="B54" s="689">
        <f t="shared" ref="B54:M54" si="15">(B57-B47)/10*7+B47</f>
        <v>7.339999999999999</v>
      </c>
      <c r="C54" s="689">
        <f t="shared" si="15"/>
        <v>8.7799999999999994</v>
      </c>
      <c r="D54" s="699">
        <f t="shared" si="15"/>
        <v>17.96</v>
      </c>
      <c r="E54" s="699">
        <f t="shared" si="15"/>
        <v>18.239999999999998</v>
      </c>
      <c r="F54" s="699">
        <f t="shared" si="15"/>
        <v>34.33</v>
      </c>
      <c r="G54" s="699">
        <f t="shared" si="15"/>
        <v>94.32</v>
      </c>
      <c r="H54" s="704">
        <f t="shared" si="15"/>
        <v>129.47</v>
      </c>
      <c r="I54" s="704">
        <f t="shared" si="15"/>
        <v>113.33000000000001</v>
      </c>
      <c r="J54" s="715">
        <f t="shared" si="15"/>
        <v>259.32033072619578</v>
      </c>
      <c r="K54" s="715">
        <f t="shared" si="15"/>
        <v>338.34703080643101</v>
      </c>
      <c r="L54" s="715">
        <f t="shared" si="15"/>
        <v>357.87485981009667</v>
      </c>
      <c r="M54" s="726">
        <f t="shared" si="15"/>
        <v>492.18078140499392</v>
      </c>
    </row>
    <row r="55" spans="1:13" hidden="1" x14ac:dyDescent="0.2">
      <c r="A55" s="713">
        <v>1.8</v>
      </c>
      <c r="B55" s="689">
        <f t="shared" ref="B55:M55" si="16">(B57-B47)/10*8+B47</f>
        <v>7.9599999999999991</v>
      </c>
      <c r="C55" s="689">
        <f t="shared" si="16"/>
        <v>9.2199999999999989</v>
      </c>
      <c r="D55" s="699">
        <f t="shared" si="16"/>
        <v>19.240000000000002</v>
      </c>
      <c r="E55" s="699">
        <f t="shared" si="16"/>
        <v>19.46</v>
      </c>
      <c r="F55" s="699">
        <f t="shared" si="16"/>
        <v>37.22</v>
      </c>
      <c r="G55" s="704">
        <f t="shared" si="16"/>
        <v>100.88</v>
      </c>
      <c r="H55" s="704">
        <f t="shared" si="16"/>
        <v>137.98000000000002</v>
      </c>
      <c r="I55" s="704">
        <f t="shared" si="16"/>
        <v>121.22</v>
      </c>
      <c r="J55" s="715">
        <f t="shared" si="16"/>
        <v>272.22456150752583</v>
      </c>
      <c r="K55" s="715">
        <f t="shared" si="16"/>
        <v>353.48174960930231</v>
      </c>
      <c r="L55" s="715">
        <f t="shared" si="16"/>
        <v>372.63751640963437</v>
      </c>
      <c r="M55" s="726">
        <f t="shared" si="16"/>
        <v>516.55265549692399</v>
      </c>
    </row>
    <row r="56" spans="1:13" hidden="1" x14ac:dyDescent="0.2">
      <c r="A56" s="713">
        <v>1.9</v>
      </c>
      <c r="B56" s="689">
        <f t="shared" ref="B56:M56" si="17">(B57-B47)/10*9+B47</f>
        <v>8.5799999999999983</v>
      </c>
      <c r="C56" s="689">
        <f t="shared" si="17"/>
        <v>9.66</v>
      </c>
      <c r="D56" s="699">
        <f t="shared" si="17"/>
        <v>20.52</v>
      </c>
      <c r="E56" s="699">
        <f t="shared" si="17"/>
        <v>20.68</v>
      </c>
      <c r="F56" s="699">
        <f t="shared" si="17"/>
        <v>40.11</v>
      </c>
      <c r="G56" s="704">
        <f t="shared" si="17"/>
        <v>107.44</v>
      </c>
      <c r="H56" s="704">
        <f t="shared" si="17"/>
        <v>146.49</v>
      </c>
      <c r="I56" s="704">
        <f t="shared" si="17"/>
        <v>129.11000000000001</v>
      </c>
      <c r="J56" s="715">
        <f t="shared" si="17"/>
        <v>285.12879228885589</v>
      </c>
      <c r="K56" s="715">
        <f t="shared" si="17"/>
        <v>368.61646841217362</v>
      </c>
      <c r="L56" s="715">
        <f t="shared" si="17"/>
        <v>387.40017300917214</v>
      </c>
      <c r="M56" s="726">
        <f t="shared" si="17"/>
        <v>540.92452958885394</v>
      </c>
    </row>
    <row r="57" spans="1:13" ht="15" hidden="1" x14ac:dyDescent="0.25">
      <c r="A57" s="713">
        <v>2</v>
      </c>
      <c r="B57" s="689">
        <v>9.1999999999999993</v>
      </c>
      <c r="C57" s="705">
        <v>10.1</v>
      </c>
      <c r="D57" s="702">
        <v>21.8</v>
      </c>
      <c r="E57" s="702">
        <v>21.9</v>
      </c>
      <c r="F57" s="702">
        <v>43</v>
      </c>
      <c r="G57" s="704">
        <v>114</v>
      </c>
      <c r="H57" s="706">
        <v>155</v>
      </c>
      <c r="I57" s="704">
        <v>137</v>
      </c>
      <c r="J57" s="715">
        <v>298.03302307018595</v>
      </c>
      <c r="K57" s="715">
        <v>383.75118721504492</v>
      </c>
      <c r="L57" s="715">
        <v>402.1628296087099</v>
      </c>
      <c r="M57" s="726">
        <v>565.29640368078401</v>
      </c>
    </row>
    <row r="58" spans="1:13" hidden="1" x14ac:dyDescent="0.2">
      <c r="A58" s="713">
        <v>2.1</v>
      </c>
      <c r="B58" s="699">
        <f t="shared" ref="B58:M58" si="18">(B67-B57)/10*1+B57</f>
        <v>10.17</v>
      </c>
      <c r="C58" s="699">
        <f t="shared" si="18"/>
        <v>10.77</v>
      </c>
      <c r="D58" s="699">
        <f t="shared" si="18"/>
        <v>24.15</v>
      </c>
      <c r="E58" s="699">
        <f t="shared" si="18"/>
        <v>24.99</v>
      </c>
      <c r="F58" s="699">
        <f t="shared" si="18"/>
        <v>48</v>
      </c>
      <c r="G58" s="704">
        <f t="shared" si="18"/>
        <v>119</v>
      </c>
      <c r="H58" s="704">
        <f t="shared" si="18"/>
        <v>163.9</v>
      </c>
      <c r="I58" s="704">
        <f t="shared" si="18"/>
        <v>144.9</v>
      </c>
      <c r="J58" s="715">
        <f t="shared" si="18"/>
        <v>311.50892205361674</v>
      </c>
      <c r="K58" s="715">
        <f t="shared" si="18"/>
        <v>398.09931319723097</v>
      </c>
      <c r="L58" s="715">
        <f t="shared" si="18"/>
        <v>418.46508828657625</v>
      </c>
      <c r="M58" s="726">
        <f t="shared" si="18"/>
        <v>587.15202644775286</v>
      </c>
    </row>
    <row r="59" spans="1:13" hidden="1" x14ac:dyDescent="0.2">
      <c r="A59" s="713">
        <v>2.2000000000000002</v>
      </c>
      <c r="B59" s="699">
        <f t="shared" ref="B59:M59" si="19">(B67-B57)/10*2+B57</f>
        <v>11.139999999999999</v>
      </c>
      <c r="C59" s="699">
        <f t="shared" si="19"/>
        <v>11.44</v>
      </c>
      <c r="D59" s="699">
        <f t="shared" si="19"/>
        <v>26.5</v>
      </c>
      <c r="E59" s="699">
        <f t="shared" si="19"/>
        <v>28.08</v>
      </c>
      <c r="F59" s="699">
        <f t="shared" si="19"/>
        <v>53</v>
      </c>
      <c r="G59" s="704">
        <f t="shared" si="19"/>
        <v>124</v>
      </c>
      <c r="H59" s="704">
        <f t="shared" si="19"/>
        <v>172.8</v>
      </c>
      <c r="I59" s="704">
        <f t="shared" si="19"/>
        <v>152.80000000000001</v>
      </c>
      <c r="J59" s="715">
        <f t="shared" si="19"/>
        <v>324.9848210370476</v>
      </c>
      <c r="K59" s="715">
        <f t="shared" si="19"/>
        <v>412.44743917941702</v>
      </c>
      <c r="L59" s="715">
        <f t="shared" si="19"/>
        <v>434.76734696444259</v>
      </c>
      <c r="M59" s="726">
        <f t="shared" si="19"/>
        <v>609.00764921472182</v>
      </c>
    </row>
    <row r="60" spans="1:13" hidden="1" x14ac:dyDescent="0.2">
      <c r="A60" s="713">
        <v>2.2999999999999998</v>
      </c>
      <c r="B60" s="699">
        <f t="shared" ref="B60:M60" si="20">(B67-B57)/10*3+B57</f>
        <v>12.11</v>
      </c>
      <c r="C60" s="699">
        <f t="shared" si="20"/>
        <v>12.11</v>
      </c>
      <c r="D60" s="699">
        <f t="shared" si="20"/>
        <v>28.85</v>
      </c>
      <c r="E60" s="699">
        <f t="shared" si="20"/>
        <v>31.169999999999998</v>
      </c>
      <c r="F60" s="699">
        <f t="shared" si="20"/>
        <v>58</v>
      </c>
      <c r="G60" s="704">
        <f t="shared" si="20"/>
        <v>129</v>
      </c>
      <c r="H60" s="704">
        <f t="shared" si="20"/>
        <v>181.7</v>
      </c>
      <c r="I60" s="704">
        <f t="shared" si="20"/>
        <v>160.69999999999999</v>
      </c>
      <c r="J60" s="715">
        <f t="shared" si="20"/>
        <v>338.46072002047845</v>
      </c>
      <c r="K60" s="715">
        <f t="shared" si="20"/>
        <v>426.79556516160307</v>
      </c>
      <c r="L60" s="715">
        <f t="shared" si="20"/>
        <v>451.06960564230894</v>
      </c>
      <c r="M60" s="726">
        <f t="shared" si="20"/>
        <v>630.86327198169079</v>
      </c>
    </row>
    <row r="61" spans="1:13" hidden="1" x14ac:dyDescent="0.2">
      <c r="A61" s="713">
        <v>2.4</v>
      </c>
      <c r="B61" s="699">
        <f t="shared" ref="B61:M61" si="21">(B67-B57)/10*4+B57</f>
        <v>13.079999999999998</v>
      </c>
      <c r="C61" s="699">
        <f t="shared" si="21"/>
        <v>12.780000000000001</v>
      </c>
      <c r="D61" s="699">
        <f t="shared" si="21"/>
        <v>31.2</v>
      </c>
      <c r="E61" s="699">
        <f t="shared" si="21"/>
        <v>34.26</v>
      </c>
      <c r="F61" s="699">
        <f t="shared" si="21"/>
        <v>63</v>
      </c>
      <c r="G61" s="704">
        <f t="shared" si="21"/>
        <v>134</v>
      </c>
      <c r="H61" s="704">
        <f t="shared" si="21"/>
        <v>190.6</v>
      </c>
      <c r="I61" s="704">
        <f t="shared" si="21"/>
        <v>168.6</v>
      </c>
      <c r="J61" s="715">
        <f t="shared" si="21"/>
        <v>351.93661900390924</v>
      </c>
      <c r="K61" s="715">
        <f t="shared" si="21"/>
        <v>441.14369114378911</v>
      </c>
      <c r="L61" s="715">
        <f t="shared" si="21"/>
        <v>467.37186432017529</v>
      </c>
      <c r="M61" s="726">
        <f t="shared" si="21"/>
        <v>652.71889474865964</v>
      </c>
    </row>
    <row r="62" spans="1:13" hidden="1" x14ac:dyDescent="0.2">
      <c r="A62" s="713">
        <v>2.5</v>
      </c>
      <c r="B62" s="699">
        <f t="shared" ref="B62:M62" si="22">(B67-B57)/10*5+B57</f>
        <v>14.049999999999999</v>
      </c>
      <c r="C62" s="699">
        <f t="shared" si="22"/>
        <v>13.45</v>
      </c>
      <c r="D62" s="699">
        <f t="shared" si="22"/>
        <v>33.549999999999997</v>
      </c>
      <c r="E62" s="699">
        <f t="shared" si="22"/>
        <v>37.349999999999994</v>
      </c>
      <c r="F62" s="699">
        <f t="shared" si="22"/>
        <v>68</v>
      </c>
      <c r="G62" s="704">
        <f t="shared" si="22"/>
        <v>139</v>
      </c>
      <c r="H62" s="704">
        <f t="shared" si="22"/>
        <v>199.5</v>
      </c>
      <c r="I62" s="704">
        <f t="shared" si="22"/>
        <v>176.5</v>
      </c>
      <c r="J62" s="715">
        <f t="shared" si="22"/>
        <v>365.41251798734004</v>
      </c>
      <c r="K62" s="715">
        <f t="shared" si="22"/>
        <v>455.4918171259751</v>
      </c>
      <c r="L62" s="715">
        <f t="shared" si="22"/>
        <v>483.67412299804164</v>
      </c>
      <c r="M62" s="726">
        <f t="shared" si="22"/>
        <v>674.57451751562849</v>
      </c>
    </row>
    <row r="63" spans="1:13" hidden="1" x14ac:dyDescent="0.2">
      <c r="A63" s="713">
        <v>2.6</v>
      </c>
      <c r="B63" s="699">
        <f t="shared" ref="B63:M63" si="23">(B67-B57)/10*6+B57</f>
        <v>15.02</v>
      </c>
      <c r="C63" s="699">
        <f t="shared" si="23"/>
        <v>14.120000000000001</v>
      </c>
      <c r="D63" s="699">
        <f t="shared" si="23"/>
        <v>35.9</v>
      </c>
      <c r="E63" s="699">
        <f t="shared" si="23"/>
        <v>40.44</v>
      </c>
      <c r="F63" s="699">
        <f t="shared" si="23"/>
        <v>73</v>
      </c>
      <c r="G63" s="704">
        <f t="shared" si="23"/>
        <v>144</v>
      </c>
      <c r="H63" s="704">
        <f t="shared" si="23"/>
        <v>208.4</v>
      </c>
      <c r="I63" s="704">
        <f t="shared" si="23"/>
        <v>184.4</v>
      </c>
      <c r="J63" s="715">
        <f t="shared" si="23"/>
        <v>378.88841697077089</v>
      </c>
      <c r="K63" s="715">
        <f t="shared" si="23"/>
        <v>469.83994310816115</v>
      </c>
      <c r="L63" s="715">
        <f t="shared" si="23"/>
        <v>499.97638167590799</v>
      </c>
      <c r="M63" s="726">
        <f t="shared" si="23"/>
        <v>696.43014028259745</v>
      </c>
    </row>
    <row r="64" spans="1:13" hidden="1" x14ac:dyDescent="0.2">
      <c r="A64" s="713">
        <v>2.7</v>
      </c>
      <c r="B64" s="699">
        <f t="shared" ref="B64:M64" si="24">(B67-B57)/10*7+B57</f>
        <v>15.989999999999998</v>
      </c>
      <c r="C64" s="699">
        <f t="shared" si="24"/>
        <v>14.790000000000001</v>
      </c>
      <c r="D64" s="699">
        <f t="shared" si="24"/>
        <v>38.25</v>
      </c>
      <c r="E64" s="699">
        <f t="shared" si="24"/>
        <v>43.53</v>
      </c>
      <c r="F64" s="699">
        <f t="shared" si="24"/>
        <v>78</v>
      </c>
      <c r="G64" s="704">
        <f t="shared" si="24"/>
        <v>149</v>
      </c>
      <c r="H64" s="704">
        <f t="shared" si="24"/>
        <v>217.3</v>
      </c>
      <c r="I64" s="704">
        <f t="shared" si="24"/>
        <v>192.3</v>
      </c>
      <c r="J64" s="715">
        <f t="shared" si="24"/>
        <v>392.36431595420174</v>
      </c>
      <c r="K64" s="715">
        <f t="shared" si="24"/>
        <v>484.1880690903472</v>
      </c>
      <c r="L64" s="715">
        <f t="shared" si="24"/>
        <v>516.27864035377434</v>
      </c>
      <c r="M64" s="726">
        <f t="shared" si="24"/>
        <v>718.28576304956641</v>
      </c>
    </row>
    <row r="65" spans="1:13" hidden="1" x14ac:dyDescent="0.2">
      <c r="A65" s="713">
        <v>2.8</v>
      </c>
      <c r="B65" s="699">
        <f t="shared" ref="B65:M65" si="25">(B67-B57)/10*8+B57</f>
        <v>16.96</v>
      </c>
      <c r="C65" s="699">
        <f t="shared" si="25"/>
        <v>15.46</v>
      </c>
      <c r="D65" s="699">
        <f t="shared" si="25"/>
        <v>40.599999999999994</v>
      </c>
      <c r="E65" s="699">
        <f t="shared" si="25"/>
        <v>46.62</v>
      </c>
      <c r="F65" s="699">
        <f t="shared" si="25"/>
        <v>83</v>
      </c>
      <c r="G65" s="704">
        <f t="shared" si="25"/>
        <v>154</v>
      </c>
      <c r="H65" s="704">
        <f t="shared" si="25"/>
        <v>226.2</v>
      </c>
      <c r="I65" s="704">
        <f t="shared" si="25"/>
        <v>200.2</v>
      </c>
      <c r="J65" s="715">
        <f t="shared" si="25"/>
        <v>405.84021493763254</v>
      </c>
      <c r="K65" s="715">
        <f t="shared" si="25"/>
        <v>498.53619507253325</v>
      </c>
      <c r="L65" s="715">
        <f t="shared" si="25"/>
        <v>532.58089903164068</v>
      </c>
      <c r="M65" s="726">
        <f t="shared" si="25"/>
        <v>740.14138581653526</v>
      </c>
    </row>
    <row r="66" spans="1:13" hidden="1" x14ac:dyDescent="0.2">
      <c r="A66" s="713">
        <v>2.9</v>
      </c>
      <c r="B66" s="699">
        <f t="shared" ref="B66:M66" si="26">(B67-B57)/10*9+B57</f>
        <v>17.93</v>
      </c>
      <c r="C66" s="699">
        <f t="shared" si="26"/>
        <v>16.130000000000003</v>
      </c>
      <c r="D66" s="699">
        <f t="shared" si="26"/>
        <v>42.95</v>
      </c>
      <c r="E66" s="699">
        <f t="shared" si="26"/>
        <v>49.709999999999994</v>
      </c>
      <c r="F66" s="699">
        <f t="shared" si="26"/>
        <v>88</v>
      </c>
      <c r="G66" s="704">
        <f t="shared" si="26"/>
        <v>159</v>
      </c>
      <c r="H66" s="704">
        <f t="shared" si="26"/>
        <v>235.10000000000002</v>
      </c>
      <c r="I66" s="704">
        <f t="shared" si="26"/>
        <v>208.10000000000002</v>
      </c>
      <c r="J66" s="715">
        <f t="shared" si="26"/>
        <v>419.31611392106333</v>
      </c>
      <c r="K66" s="715">
        <f t="shared" si="26"/>
        <v>512.88432105471929</v>
      </c>
      <c r="L66" s="715">
        <f t="shared" si="26"/>
        <v>548.88315770950703</v>
      </c>
      <c r="M66" s="726">
        <f t="shared" si="26"/>
        <v>761.99700858350411</v>
      </c>
    </row>
    <row r="67" spans="1:13" ht="15" hidden="1" x14ac:dyDescent="0.25">
      <c r="A67" s="713">
        <v>3</v>
      </c>
      <c r="B67" s="699">
        <v>18.899999999999999</v>
      </c>
      <c r="C67" s="705">
        <v>16.8</v>
      </c>
      <c r="D67" s="702">
        <v>45.3</v>
      </c>
      <c r="E67" s="702">
        <v>52.8</v>
      </c>
      <c r="F67" s="702">
        <v>93</v>
      </c>
      <c r="G67" s="704">
        <v>164</v>
      </c>
      <c r="H67" s="706">
        <v>244</v>
      </c>
      <c r="I67" s="704">
        <v>216</v>
      </c>
      <c r="J67" s="715">
        <v>432.79201290449419</v>
      </c>
      <c r="K67" s="715">
        <v>527.23244703690534</v>
      </c>
      <c r="L67" s="715">
        <v>565.18541638737338</v>
      </c>
      <c r="M67" s="726">
        <v>783.85263135047308</v>
      </c>
    </row>
    <row r="68" spans="1:13" hidden="1" x14ac:dyDescent="0.2">
      <c r="A68" s="713">
        <v>3.1</v>
      </c>
      <c r="B68" s="699">
        <f t="shared" ref="B68:M68" si="27">(B77-B67)/10*1+B67</f>
        <v>21.06</v>
      </c>
      <c r="C68" s="699">
        <f t="shared" si="27"/>
        <v>18.630000000000003</v>
      </c>
      <c r="D68" s="699">
        <f t="shared" si="27"/>
        <v>48.089999999999996</v>
      </c>
      <c r="E68" s="699">
        <f t="shared" si="27"/>
        <v>57.44</v>
      </c>
      <c r="F68" s="699">
        <f t="shared" si="27"/>
        <v>98.3</v>
      </c>
      <c r="G68" s="704">
        <f t="shared" si="27"/>
        <v>171.4</v>
      </c>
      <c r="H68" s="704">
        <f t="shared" si="27"/>
        <v>249.5</v>
      </c>
      <c r="I68" s="704">
        <f t="shared" si="27"/>
        <v>221.8</v>
      </c>
      <c r="J68" s="715">
        <f t="shared" si="27"/>
        <v>444.76228264337226</v>
      </c>
      <c r="K68" s="715">
        <f t="shared" si="27"/>
        <v>541.21759100472832</v>
      </c>
      <c r="L68" s="715">
        <f t="shared" si="27"/>
        <v>581.86698587509716</v>
      </c>
      <c r="M68" s="726">
        <f t="shared" si="27"/>
        <v>804.57869837859187</v>
      </c>
    </row>
    <row r="69" spans="1:13" hidden="1" x14ac:dyDescent="0.2">
      <c r="A69" s="713">
        <v>3.2</v>
      </c>
      <c r="B69" s="699">
        <f t="shared" ref="B69:M69" si="28">(B77-B67)/10*2+B67</f>
        <v>23.22</v>
      </c>
      <c r="C69" s="699">
        <f t="shared" si="28"/>
        <v>20.46</v>
      </c>
      <c r="D69" s="699">
        <f t="shared" si="28"/>
        <v>50.879999999999995</v>
      </c>
      <c r="E69" s="699">
        <f t="shared" si="28"/>
        <v>62.08</v>
      </c>
      <c r="F69" s="704">
        <f t="shared" si="28"/>
        <v>103.6</v>
      </c>
      <c r="G69" s="704">
        <f t="shared" si="28"/>
        <v>178.8</v>
      </c>
      <c r="H69" s="704">
        <f t="shared" si="28"/>
        <v>255</v>
      </c>
      <c r="I69" s="704">
        <f t="shared" si="28"/>
        <v>227.6</v>
      </c>
      <c r="J69" s="715">
        <f t="shared" si="28"/>
        <v>456.73255238225033</v>
      </c>
      <c r="K69" s="715">
        <f t="shared" si="28"/>
        <v>555.2027349725513</v>
      </c>
      <c r="L69" s="715">
        <f t="shared" si="28"/>
        <v>598.54855536282082</v>
      </c>
      <c r="M69" s="726">
        <f t="shared" si="28"/>
        <v>825.30476540671054</v>
      </c>
    </row>
    <row r="70" spans="1:13" hidden="1" x14ac:dyDescent="0.2">
      <c r="A70" s="713">
        <v>3.3</v>
      </c>
      <c r="B70" s="699">
        <f t="shared" ref="B70:M70" si="29">(B77-B67)/10*3+B67</f>
        <v>25.38</v>
      </c>
      <c r="C70" s="699">
        <f t="shared" si="29"/>
        <v>22.29</v>
      </c>
      <c r="D70" s="699">
        <f t="shared" si="29"/>
        <v>53.67</v>
      </c>
      <c r="E70" s="699">
        <f t="shared" si="29"/>
        <v>66.72</v>
      </c>
      <c r="F70" s="704">
        <f t="shared" si="29"/>
        <v>108.9</v>
      </c>
      <c r="G70" s="704">
        <f t="shared" si="29"/>
        <v>186.2</v>
      </c>
      <c r="H70" s="704">
        <f t="shared" si="29"/>
        <v>260.5</v>
      </c>
      <c r="I70" s="704">
        <f t="shared" si="29"/>
        <v>233.4</v>
      </c>
      <c r="J70" s="715">
        <f t="shared" si="29"/>
        <v>468.70282212112841</v>
      </c>
      <c r="K70" s="715">
        <f t="shared" si="29"/>
        <v>569.18787894037428</v>
      </c>
      <c r="L70" s="715">
        <f t="shared" si="29"/>
        <v>615.2301248505446</v>
      </c>
      <c r="M70" s="726">
        <f t="shared" si="29"/>
        <v>846.03083243482934</v>
      </c>
    </row>
    <row r="71" spans="1:13" hidden="1" x14ac:dyDescent="0.2">
      <c r="A71" s="713">
        <v>3.4</v>
      </c>
      <c r="B71" s="699">
        <f t="shared" ref="B71:M71" si="30">(B77-B67)/10*4+B67</f>
        <v>27.54</v>
      </c>
      <c r="C71" s="699">
        <f t="shared" si="30"/>
        <v>24.12</v>
      </c>
      <c r="D71" s="699">
        <f t="shared" si="30"/>
        <v>56.46</v>
      </c>
      <c r="E71" s="699">
        <f t="shared" si="30"/>
        <v>71.36</v>
      </c>
      <c r="F71" s="704">
        <f t="shared" si="30"/>
        <v>114.2</v>
      </c>
      <c r="G71" s="704">
        <f t="shared" si="30"/>
        <v>193.6</v>
      </c>
      <c r="H71" s="704">
        <f t="shared" si="30"/>
        <v>266</v>
      </c>
      <c r="I71" s="704">
        <f t="shared" si="30"/>
        <v>239.2</v>
      </c>
      <c r="J71" s="715">
        <f t="shared" si="30"/>
        <v>480.67309186000654</v>
      </c>
      <c r="K71" s="715">
        <f t="shared" si="30"/>
        <v>583.17302290819725</v>
      </c>
      <c r="L71" s="715">
        <f t="shared" si="30"/>
        <v>631.91169433826826</v>
      </c>
      <c r="M71" s="726">
        <f t="shared" si="30"/>
        <v>866.75689946294813</v>
      </c>
    </row>
    <row r="72" spans="1:13" hidden="1" x14ac:dyDescent="0.2">
      <c r="A72" s="713">
        <v>3.5</v>
      </c>
      <c r="B72" s="699">
        <f t="shared" ref="B72:M72" si="31">(B77-B67)/10*5+B67</f>
        <v>29.7</v>
      </c>
      <c r="C72" s="699">
        <f t="shared" si="31"/>
        <v>25.950000000000003</v>
      </c>
      <c r="D72" s="699">
        <f t="shared" si="31"/>
        <v>59.25</v>
      </c>
      <c r="E72" s="699">
        <f t="shared" si="31"/>
        <v>76</v>
      </c>
      <c r="F72" s="704">
        <f t="shared" si="31"/>
        <v>119.5</v>
      </c>
      <c r="G72" s="704">
        <f t="shared" si="31"/>
        <v>201</v>
      </c>
      <c r="H72" s="704">
        <f t="shared" si="31"/>
        <v>271.5</v>
      </c>
      <c r="I72" s="704">
        <f t="shared" si="31"/>
        <v>245</v>
      </c>
      <c r="J72" s="715">
        <f t="shared" si="31"/>
        <v>492.64336159888461</v>
      </c>
      <c r="K72" s="715">
        <f t="shared" si="31"/>
        <v>597.15816687602023</v>
      </c>
      <c r="L72" s="715">
        <f t="shared" si="31"/>
        <v>648.59326382599204</v>
      </c>
      <c r="M72" s="726">
        <f t="shared" si="31"/>
        <v>887.48296649106692</v>
      </c>
    </row>
    <row r="73" spans="1:13" hidden="1" x14ac:dyDescent="0.2">
      <c r="A73" s="713">
        <v>3.6</v>
      </c>
      <c r="B73" s="699">
        <f t="shared" ref="B73:M73" si="32">(B77-B67)/10*6+B67</f>
        <v>31.86</v>
      </c>
      <c r="C73" s="699">
        <f t="shared" si="32"/>
        <v>27.78</v>
      </c>
      <c r="D73" s="699">
        <f t="shared" si="32"/>
        <v>62.04</v>
      </c>
      <c r="E73" s="699">
        <f t="shared" si="32"/>
        <v>80.64</v>
      </c>
      <c r="F73" s="704">
        <f t="shared" si="32"/>
        <v>124.8</v>
      </c>
      <c r="G73" s="704">
        <f t="shared" si="32"/>
        <v>208.4</v>
      </c>
      <c r="H73" s="704">
        <f t="shared" si="32"/>
        <v>277</v>
      </c>
      <c r="I73" s="704">
        <f t="shared" si="32"/>
        <v>250.8</v>
      </c>
      <c r="J73" s="715">
        <f t="shared" si="32"/>
        <v>504.61363133776268</v>
      </c>
      <c r="K73" s="715">
        <f t="shared" si="32"/>
        <v>611.14331084384321</v>
      </c>
      <c r="L73" s="715">
        <f t="shared" si="32"/>
        <v>665.27483331371582</v>
      </c>
      <c r="M73" s="726">
        <f t="shared" si="32"/>
        <v>908.2090335191856</v>
      </c>
    </row>
    <row r="74" spans="1:13" hidden="1" x14ac:dyDescent="0.2">
      <c r="A74" s="713">
        <v>3.7</v>
      </c>
      <c r="B74" s="699">
        <f t="shared" ref="B74:M74" si="33">(B77-B67)/10*7+B67</f>
        <v>34.019999999999996</v>
      </c>
      <c r="C74" s="699">
        <f t="shared" si="33"/>
        <v>29.61</v>
      </c>
      <c r="D74" s="699">
        <f t="shared" si="33"/>
        <v>64.83</v>
      </c>
      <c r="E74" s="699">
        <f t="shared" si="33"/>
        <v>85.28</v>
      </c>
      <c r="F74" s="704">
        <f t="shared" si="33"/>
        <v>130.1</v>
      </c>
      <c r="G74" s="704">
        <f t="shared" si="33"/>
        <v>215.8</v>
      </c>
      <c r="H74" s="704">
        <f t="shared" si="33"/>
        <v>282.5</v>
      </c>
      <c r="I74" s="704">
        <f t="shared" si="33"/>
        <v>256.60000000000002</v>
      </c>
      <c r="J74" s="715">
        <f t="shared" si="33"/>
        <v>516.58390107664081</v>
      </c>
      <c r="K74" s="715">
        <f t="shared" si="33"/>
        <v>625.1284548116663</v>
      </c>
      <c r="L74" s="715">
        <f t="shared" si="33"/>
        <v>681.95640280143948</v>
      </c>
      <c r="M74" s="726">
        <f t="shared" si="33"/>
        <v>928.93510054730439</v>
      </c>
    </row>
    <row r="75" spans="1:13" hidden="1" x14ac:dyDescent="0.2">
      <c r="A75" s="713">
        <v>3.8</v>
      </c>
      <c r="B75" s="699">
        <f t="shared" ref="B75:M75" si="34">(B77-B67)/10*8+B67</f>
        <v>36.18</v>
      </c>
      <c r="C75" s="699">
        <f t="shared" si="34"/>
        <v>31.44</v>
      </c>
      <c r="D75" s="699">
        <f t="shared" si="34"/>
        <v>67.62</v>
      </c>
      <c r="E75" s="699">
        <f t="shared" si="34"/>
        <v>89.92</v>
      </c>
      <c r="F75" s="704">
        <f t="shared" si="34"/>
        <v>135.4</v>
      </c>
      <c r="G75" s="704">
        <f t="shared" si="34"/>
        <v>223.2</v>
      </c>
      <c r="H75" s="704">
        <f t="shared" si="34"/>
        <v>288</v>
      </c>
      <c r="I75" s="704">
        <f t="shared" si="34"/>
        <v>262.39999999999998</v>
      </c>
      <c r="J75" s="715">
        <f t="shared" si="34"/>
        <v>528.55417081551889</v>
      </c>
      <c r="K75" s="715">
        <f t="shared" si="34"/>
        <v>639.11359877948928</v>
      </c>
      <c r="L75" s="715">
        <f t="shared" si="34"/>
        <v>698.63797228916326</v>
      </c>
      <c r="M75" s="726">
        <f t="shared" si="34"/>
        <v>949.66116757542318</v>
      </c>
    </row>
    <row r="76" spans="1:13" hidden="1" x14ac:dyDescent="0.2">
      <c r="A76" s="713">
        <v>3.9</v>
      </c>
      <c r="B76" s="699">
        <f t="shared" ref="B76:M76" si="35">(B77-B67)/10*9+B67</f>
        <v>38.340000000000003</v>
      </c>
      <c r="C76" s="699">
        <f t="shared" si="35"/>
        <v>33.269999999999996</v>
      </c>
      <c r="D76" s="699">
        <f t="shared" si="35"/>
        <v>70.41</v>
      </c>
      <c r="E76" s="699">
        <f t="shared" si="35"/>
        <v>94.56</v>
      </c>
      <c r="F76" s="704">
        <f t="shared" si="35"/>
        <v>140.69999999999999</v>
      </c>
      <c r="G76" s="704">
        <f t="shared" si="35"/>
        <v>230.60000000000002</v>
      </c>
      <c r="H76" s="704">
        <f t="shared" si="35"/>
        <v>293.5</v>
      </c>
      <c r="I76" s="704">
        <f t="shared" si="35"/>
        <v>268.2</v>
      </c>
      <c r="J76" s="715">
        <f t="shared" si="35"/>
        <v>540.52444055439696</v>
      </c>
      <c r="K76" s="715">
        <f t="shared" si="35"/>
        <v>653.09874274731226</v>
      </c>
      <c r="L76" s="715">
        <f t="shared" si="35"/>
        <v>715.31954177688692</v>
      </c>
      <c r="M76" s="726">
        <f t="shared" si="35"/>
        <v>970.38723460354186</v>
      </c>
    </row>
    <row r="77" spans="1:13" ht="15" hidden="1" x14ac:dyDescent="0.25">
      <c r="A77" s="713">
        <v>4</v>
      </c>
      <c r="B77" s="699">
        <v>40.5</v>
      </c>
      <c r="C77" s="705">
        <v>35.1</v>
      </c>
      <c r="D77" s="702">
        <v>73.2</v>
      </c>
      <c r="E77" s="702">
        <v>99.2</v>
      </c>
      <c r="F77" s="708">
        <v>146</v>
      </c>
      <c r="G77" s="704">
        <v>238</v>
      </c>
      <c r="H77" s="706">
        <v>299</v>
      </c>
      <c r="I77" s="704">
        <v>274</v>
      </c>
      <c r="J77" s="715">
        <v>552.49471029327503</v>
      </c>
      <c r="K77" s="715">
        <v>667.08388671513524</v>
      </c>
      <c r="L77" s="715">
        <v>732.0011112646107</v>
      </c>
      <c r="M77" s="726">
        <v>991.11330163166065</v>
      </c>
    </row>
    <row r="78" spans="1:13" hidden="1" x14ac:dyDescent="0.2">
      <c r="A78" s="713">
        <v>4.0999999999999996</v>
      </c>
      <c r="B78" s="699">
        <f t="shared" ref="B78:M78" si="36">(B87-B77)/10*1+B77</f>
        <v>42.61</v>
      </c>
      <c r="C78" s="699">
        <f t="shared" si="36"/>
        <v>37.94</v>
      </c>
      <c r="D78" s="699">
        <f t="shared" si="36"/>
        <v>77.56</v>
      </c>
      <c r="E78" s="704">
        <f t="shared" si="36"/>
        <v>105.47</v>
      </c>
      <c r="F78" s="704">
        <f t="shared" si="36"/>
        <v>151.69999999999999</v>
      </c>
      <c r="G78" s="704">
        <f t="shared" si="36"/>
        <v>253.4</v>
      </c>
      <c r="H78" s="704">
        <f t="shared" si="36"/>
        <v>310.5</v>
      </c>
      <c r="I78" s="704">
        <f t="shared" si="36"/>
        <v>279.5</v>
      </c>
      <c r="J78" s="715">
        <f t="shared" si="36"/>
        <v>565.0748550547321</v>
      </c>
      <c r="K78" s="715">
        <f t="shared" si="36"/>
        <v>680.15277698570117</v>
      </c>
      <c r="L78" s="715">
        <f t="shared" si="36"/>
        <v>746.04002166652663</v>
      </c>
      <c r="M78" s="726">
        <f t="shared" si="36"/>
        <v>1010.8309627848113</v>
      </c>
    </row>
    <row r="79" spans="1:13" hidden="1" x14ac:dyDescent="0.2">
      <c r="A79" s="713">
        <v>4.2</v>
      </c>
      <c r="B79" s="699">
        <f t="shared" ref="B79:M79" si="37">(B87-B77)/10*2+B77</f>
        <v>44.72</v>
      </c>
      <c r="C79" s="699">
        <f t="shared" si="37"/>
        <v>40.78</v>
      </c>
      <c r="D79" s="699">
        <f t="shared" si="37"/>
        <v>81.92</v>
      </c>
      <c r="E79" s="704">
        <f t="shared" si="37"/>
        <v>111.74000000000001</v>
      </c>
      <c r="F79" s="704">
        <f t="shared" si="37"/>
        <v>157.4</v>
      </c>
      <c r="G79" s="704">
        <f t="shared" si="37"/>
        <v>268.8</v>
      </c>
      <c r="H79" s="704">
        <f t="shared" si="37"/>
        <v>322</v>
      </c>
      <c r="I79" s="704">
        <f t="shared" si="37"/>
        <v>285</v>
      </c>
      <c r="J79" s="715">
        <f t="shared" si="37"/>
        <v>577.65499981618916</v>
      </c>
      <c r="K79" s="715">
        <f t="shared" si="37"/>
        <v>693.2216672562671</v>
      </c>
      <c r="L79" s="715">
        <f t="shared" si="37"/>
        <v>760.07893206844244</v>
      </c>
      <c r="M79" s="726">
        <f t="shared" si="37"/>
        <v>1030.5486239379618</v>
      </c>
    </row>
    <row r="80" spans="1:13" hidden="1" x14ac:dyDescent="0.2">
      <c r="A80" s="713">
        <v>4.3</v>
      </c>
      <c r="B80" s="699">
        <f t="shared" ref="B80:M80" si="38">(B87-B77)/10*3+B77</f>
        <v>46.83</v>
      </c>
      <c r="C80" s="699">
        <f t="shared" si="38"/>
        <v>43.620000000000005</v>
      </c>
      <c r="D80" s="699">
        <f t="shared" si="38"/>
        <v>86.28</v>
      </c>
      <c r="E80" s="704">
        <f t="shared" si="38"/>
        <v>118.01</v>
      </c>
      <c r="F80" s="704">
        <f t="shared" si="38"/>
        <v>163.1</v>
      </c>
      <c r="G80" s="704">
        <f t="shared" si="38"/>
        <v>284.2</v>
      </c>
      <c r="H80" s="704">
        <f t="shared" si="38"/>
        <v>333.5</v>
      </c>
      <c r="I80" s="704">
        <f t="shared" si="38"/>
        <v>290.5</v>
      </c>
      <c r="J80" s="715">
        <f t="shared" si="38"/>
        <v>590.23514457764611</v>
      </c>
      <c r="K80" s="715">
        <f t="shared" si="38"/>
        <v>706.29055752683291</v>
      </c>
      <c r="L80" s="715">
        <f t="shared" si="38"/>
        <v>774.11784247035837</v>
      </c>
      <c r="M80" s="726">
        <f t="shared" si="38"/>
        <v>1050.2662850911124</v>
      </c>
    </row>
    <row r="81" spans="1:13" hidden="1" x14ac:dyDescent="0.2">
      <c r="A81" s="713">
        <v>4.4000000000000004</v>
      </c>
      <c r="B81" s="699">
        <f t="shared" ref="B81:M81" si="39">(B87-B77)/10*4+B77</f>
        <v>48.94</v>
      </c>
      <c r="C81" s="699">
        <f t="shared" si="39"/>
        <v>46.46</v>
      </c>
      <c r="D81" s="699">
        <f t="shared" si="39"/>
        <v>90.64</v>
      </c>
      <c r="E81" s="704">
        <f t="shared" si="39"/>
        <v>124.28</v>
      </c>
      <c r="F81" s="704">
        <f t="shared" si="39"/>
        <v>168.8</v>
      </c>
      <c r="G81" s="704">
        <f t="shared" si="39"/>
        <v>299.60000000000002</v>
      </c>
      <c r="H81" s="704">
        <f t="shared" si="39"/>
        <v>345</v>
      </c>
      <c r="I81" s="704">
        <f t="shared" si="39"/>
        <v>296</v>
      </c>
      <c r="J81" s="715">
        <f t="shared" si="39"/>
        <v>602.81528933910317</v>
      </c>
      <c r="K81" s="715">
        <f t="shared" si="39"/>
        <v>719.35944779739884</v>
      </c>
      <c r="L81" s="715">
        <f t="shared" si="39"/>
        <v>788.1567528722743</v>
      </c>
      <c r="M81" s="726">
        <f t="shared" si="39"/>
        <v>1069.9839462442631</v>
      </c>
    </row>
    <row r="82" spans="1:13" hidden="1" x14ac:dyDescent="0.2">
      <c r="A82" s="713">
        <v>4.5</v>
      </c>
      <c r="B82" s="699">
        <f t="shared" ref="B82:M82" si="40">(B87-B77)/10*5+B77</f>
        <v>51.05</v>
      </c>
      <c r="C82" s="699">
        <f t="shared" si="40"/>
        <v>49.3</v>
      </c>
      <c r="D82" s="699">
        <f t="shared" si="40"/>
        <v>95</v>
      </c>
      <c r="E82" s="704">
        <f t="shared" si="40"/>
        <v>130.55000000000001</v>
      </c>
      <c r="F82" s="704">
        <f t="shared" si="40"/>
        <v>174.5</v>
      </c>
      <c r="G82" s="704">
        <f t="shared" si="40"/>
        <v>315</v>
      </c>
      <c r="H82" s="704">
        <f t="shared" si="40"/>
        <v>356.5</v>
      </c>
      <c r="I82" s="704">
        <f t="shared" si="40"/>
        <v>301.5</v>
      </c>
      <c r="J82" s="715">
        <f t="shared" si="40"/>
        <v>615.39543410056024</v>
      </c>
      <c r="K82" s="715">
        <f t="shared" si="40"/>
        <v>732.42833806796477</v>
      </c>
      <c r="L82" s="715">
        <f t="shared" si="40"/>
        <v>802.19566327419011</v>
      </c>
      <c r="M82" s="726">
        <f t="shared" si="40"/>
        <v>1089.7016073974137</v>
      </c>
    </row>
    <row r="83" spans="1:13" hidden="1" x14ac:dyDescent="0.2">
      <c r="A83" s="713">
        <v>4.5999999999999996</v>
      </c>
      <c r="B83" s="699">
        <f t="shared" ref="B83:M83" si="41">(B87-B77)/10*6+B77</f>
        <v>53.160000000000004</v>
      </c>
      <c r="C83" s="699">
        <f t="shared" si="41"/>
        <v>52.14</v>
      </c>
      <c r="D83" s="699">
        <f t="shared" si="41"/>
        <v>99.36</v>
      </c>
      <c r="E83" s="704">
        <f t="shared" si="41"/>
        <v>136.82</v>
      </c>
      <c r="F83" s="704">
        <f t="shared" si="41"/>
        <v>180.2</v>
      </c>
      <c r="G83" s="704">
        <f t="shared" si="41"/>
        <v>330.4</v>
      </c>
      <c r="H83" s="704">
        <f t="shared" si="41"/>
        <v>368</v>
      </c>
      <c r="I83" s="704">
        <f t="shared" si="41"/>
        <v>307</v>
      </c>
      <c r="J83" s="715">
        <f t="shared" si="41"/>
        <v>627.9755788620173</v>
      </c>
      <c r="K83" s="715">
        <f t="shared" si="41"/>
        <v>745.4972283385307</v>
      </c>
      <c r="L83" s="715">
        <f t="shared" si="41"/>
        <v>816.23457367610604</v>
      </c>
      <c r="M83" s="726">
        <f t="shared" si="41"/>
        <v>1109.4192685505643</v>
      </c>
    </row>
    <row r="84" spans="1:13" hidden="1" x14ac:dyDescent="0.2">
      <c r="A84" s="713">
        <v>4.7</v>
      </c>
      <c r="B84" s="699">
        <f t="shared" ref="B84:M84" si="42">(B87-B77)/10*7+B77</f>
        <v>55.27</v>
      </c>
      <c r="C84" s="699">
        <f t="shared" si="42"/>
        <v>54.980000000000004</v>
      </c>
      <c r="D84" s="704">
        <f t="shared" si="42"/>
        <v>103.72</v>
      </c>
      <c r="E84" s="704">
        <f t="shared" si="42"/>
        <v>143.09</v>
      </c>
      <c r="F84" s="704">
        <f t="shared" si="42"/>
        <v>185.9</v>
      </c>
      <c r="G84" s="704">
        <f t="shared" si="42"/>
        <v>345.8</v>
      </c>
      <c r="H84" s="704">
        <f t="shared" si="42"/>
        <v>379.5</v>
      </c>
      <c r="I84" s="704">
        <f t="shared" si="42"/>
        <v>312.5</v>
      </c>
      <c r="J84" s="715">
        <f t="shared" si="42"/>
        <v>640.55572362347436</v>
      </c>
      <c r="K84" s="715">
        <f t="shared" si="42"/>
        <v>758.56611860909663</v>
      </c>
      <c r="L84" s="715">
        <f t="shared" si="42"/>
        <v>830.27348407802197</v>
      </c>
      <c r="M84" s="726">
        <f t="shared" si="42"/>
        <v>1129.1369297037149</v>
      </c>
    </row>
    <row r="85" spans="1:13" hidden="1" x14ac:dyDescent="0.2">
      <c r="A85" s="713">
        <v>4.8</v>
      </c>
      <c r="B85" s="699">
        <f t="shared" ref="B85:M85" si="43">(B87-B77)/10*8+B77</f>
        <v>57.38</v>
      </c>
      <c r="C85" s="699">
        <f t="shared" si="43"/>
        <v>57.82</v>
      </c>
      <c r="D85" s="704">
        <f t="shared" si="43"/>
        <v>108.08</v>
      </c>
      <c r="E85" s="704">
        <f t="shared" si="43"/>
        <v>149.36000000000001</v>
      </c>
      <c r="F85" s="704">
        <f t="shared" si="43"/>
        <v>191.6</v>
      </c>
      <c r="G85" s="704">
        <f t="shared" si="43"/>
        <v>361.2</v>
      </c>
      <c r="H85" s="704">
        <f t="shared" si="43"/>
        <v>391</v>
      </c>
      <c r="I85" s="704">
        <f t="shared" si="43"/>
        <v>318</v>
      </c>
      <c r="J85" s="715">
        <f t="shared" si="43"/>
        <v>653.13586838493131</v>
      </c>
      <c r="K85" s="715">
        <f t="shared" si="43"/>
        <v>771.63500887966245</v>
      </c>
      <c r="L85" s="715">
        <f t="shared" si="43"/>
        <v>844.31239447993789</v>
      </c>
      <c r="M85" s="726">
        <f t="shared" si="43"/>
        <v>1148.8545908568656</v>
      </c>
    </row>
    <row r="86" spans="1:13" hidden="1" x14ac:dyDescent="0.2">
      <c r="A86" s="713">
        <v>4.9000000000000004</v>
      </c>
      <c r="B86" s="699">
        <f t="shared" ref="B86:M86" si="44">(B87-B77)/10*9+B77</f>
        <v>59.49</v>
      </c>
      <c r="C86" s="699">
        <f t="shared" si="44"/>
        <v>60.66</v>
      </c>
      <c r="D86" s="704">
        <f t="shared" si="44"/>
        <v>112.44</v>
      </c>
      <c r="E86" s="704">
        <f t="shared" si="44"/>
        <v>155.63</v>
      </c>
      <c r="F86" s="704">
        <f t="shared" si="44"/>
        <v>197.3</v>
      </c>
      <c r="G86" s="704">
        <f t="shared" si="44"/>
        <v>376.6</v>
      </c>
      <c r="H86" s="704">
        <f t="shared" si="44"/>
        <v>402.5</v>
      </c>
      <c r="I86" s="704">
        <f t="shared" si="44"/>
        <v>323.5</v>
      </c>
      <c r="J86" s="715">
        <f t="shared" si="44"/>
        <v>665.71601314638838</v>
      </c>
      <c r="K86" s="715">
        <f t="shared" si="44"/>
        <v>784.70389915022838</v>
      </c>
      <c r="L86" s="715">
        <f t="shared" si="44"/>
        <v>858.35130488185371</v>
      </c>
      <c r="M86" s="726">
        <f t="shared" si="44"/>
        <v>1168.5722520100162</v>
      </c>
    </row>
    <row r="87" spans="1:13" ht="15" hidden="1" x14ac:dyDescent="0.25">
      <c r="A87" s="713">
        <v>5</v>
      </c>
      <c r="B87" s="699">
        <v>61.6</v>
      </c>
      <c r="C87" s="705">
        <v>63.5</v>
      </c>
      <c r="D87" s="708">
        <v>116.8</v>
      </c>
      <c r="E87" s="708">
        <v>161.9</v>
      </c>
      <c r="F87" s="708">
        <v>203</v>
      </c>
      <c r="G87" s="704">
        <v>392</v>
      </c>
      <c r="H87" s="706">
        <v>414</v>
      </c>
      <c r="I87" s="704">
        <v>329</v>
      </c>
      <c r="J87" s="715">
        <v>678.29615790784544</v>
      </c>
      <c r="K87" s="715">
        <v>797.77278942079431</v>
      </c>
      <c r="L87" s="715">
        <v>872.39021528376963</v>
      </c>
      <c r="M87" s="726">
        <v>1188.2899131631668</v>
      </c>
    </row>
    <row r="88" spans="1:13" hidden="1" x14ac:dyDescent="0.2">
      <c r="A88" s="713">
        <v>5.0999999999999996</v>
      </c>
      <c r="B88" s="699">
        <f t="shared" ref="B88:M88" si="45">(B97-B87)/10*1+B87</f>
        <v>62.96</v>
      </c>
      <c r="C88" s="699">
        <f t="shared" si="45"/>
        <v>65.709999999999994</v>
      </c>
      <c r="D88" s="704">
        <f t="shared" si="45"/>
        <v>120.32</v>
      </c>
      <c r="E88" s="704">
        <f t="shared" si="45"/>
        <v>165.20000000000002</v>
      </c>
      <c r="F88" s="704">
        <f t="shared" si="45"/>
        <v>206.3</v>
      </c>
      <c r="G88" s="704">
        <f t="shared" si="45"/>
        <v>403.5</v>
      </c>
      <c r="H88" s="704">
        <f t="shared" si="45"/>
        <v>426.7</v>
      </c>
      <c r="I88" s="704">
        <f t="shared" si="45"/>
        <v>344.4</v>
      </c>
      <c r="J88" s="715">
        <f t="shared" si="45"/>
        <v>688.22546284327052</v>
      </c>
      <c r="K88" s="715">
        <f t="shared" si="45"/>
        <v>808.41618480884324</v>
      </c>
      <c r="L88" s="715">
        <f t="shared" si="45"/>
        <v>887.49384066697871</v>
      </c>
      <c r="M88" s="726">
        <f t="shared" si="45"/>
        <v>1206.1977606266059</v>
      </c>
    </row>
    <row r="89" spans="1:13" hidden="1" x14ac:dyDescent="0.2">
      <c r="A89" s="713">
        <v>5.2</v>
      </c>
      <c r="B89" s="699">
        <f t="shared" ref="B89:M89" si="46">(B97-B87)/10*2+B87</f>
        <v>64.320000000000007</v>
      </c>
      <c r="C89" s="699">
        <f t="shared" si="46"/>
        <v>67.92</v>
      </c>
      <c r="D89" s="704">
        <f t="shared" si="46"/>
        <v>123.84</v>
      </c>
      <c r="E89" s="704">
        <f t="shared" si="46"/>
        <v>168.5</v>
      </c>
      <c r="F89" s="704">
        <f t="shared" si="46"/>
        <v>209.6</v>
      </c>
      <c r="G89" s="704">
        <f t="shared" si="46"/>
        <v>415</v>
      </c>
      <c r="H89" s="704">
        <f t="shared" si="46"/>
        <v>439.4</v>
      </c>
      <c r="I89" s="704">
        <f t="shared" si="46"/>
        <v>359.8</v>
      </c>
      <c r="J89" s="715">
        <f t="shared" si="46"/>
        <v>698.1547677786956</v>
      </c>
      <c r="K89" s="715">
        <f t="shared" si="46"/>
        <v>819.05958019689228</v>
      </c>
      <c r="L89" s="715">
        <f t="shared" si="46"/>
        <v>902.5974660501879</v>
      </c>
      <c r="M89" s="726">
        <f t="shared" si="46"/>
        <v>1224.1056080900451</v>
      </c>
    </row>
    <row r="90" spans="1:13" hidden="1" x14ac:dyDescent="0.2">
      <c r="A90" s="713">
        <v>5.3</v>
      </c>
      <c r="B90" s="699">
        <f t="shared" ref="B90:M90" si="47">(B97-B87)/10*3+B87</f>
        <v>65.680000000000007</v>
      </c>
      <c r="C90" s="699">
        <f t="shared" si="47"/>
        <v>70.13</v>
      </c>
      <c r="D90" s="704">
        <f t="shared" si="47"/>
        <v>127.36</v>
      </c>
      <c r="E90" s="704">
        <f t="shared" si="47"/>
        <v>171.8</v>
      </c>
      <c r="F90" s="704">
        <f t="shared" si="47"/>
        <v>212.9</v>
      </c>
      <c r="G90" s="704">
        <f t="shared" si="47"/>
        <v>426.5</v>
      </c>
      <c r="H90" s="704">
        <f t="shared" si="47"/>
        <v>452.1</v>
      </c>
      <c r="I90" s="704">
        <f t="shared" si="47"/>
        <v>375.2</v>
      </c>
      <c r="J90" s="715">
        <f t="shared" si="47"/>
        <v>708.08407271412068</v>
      </c>
      <c r="K90" s="715">
        <f t="shared" si="47"/>
        <v>829.70297558494121</v>
      </c>
      <c r="L90" s="715">
        <f t="shared" si="47"/>
        <v>917.7010914333971</v>
      </c>
      <c r="M90" s="726">
        <f t="shared" si="47"/>
        <v>1242.0134555534844</v>
      </c>
    </row>
    <row r="91" spans="1:13" hidden="1" x14ac:dyDescent="0.2">
      <c r="A91" s="713">
        <v>5.4</v>
      </c>
      <c r="B91" s="699">
        <f t="shared" ref="B91:M91" si="48">(B97-B87)/10*4+B87</f>
        <v>67.040000000000006</v>
      </c>
      <c r="C91" s="699">
        <f t="shared" si="48"/>
        <v>72.34</v>
      </c>
      <c r="D91" s="704">
        <f t="shared" si="48"/>
        <v>130.88</v>
      </c>
      <c r="E91" s="704">
        <f t="shared" si="48"/>
        <v>175.1</v>
      </c>
      <c r="F91" s="704">
        <f t="shared" si="48"/>
        <v>216.2</v>
      </c>
      <c r="G91" s="704">
        <f t="shared" si="48"/>
        <v>438</v>
      </c>
      <c r="H91" s="704">
        <f t="shared" si="48"/>
        <v>464.8</v>
      </c>
      <c r="I91" s="704">
        <f t="shared" si="48"/>
        <v>390.6</v>
      </c>
      <c r="J91" s="715">
        <f t="shared" si="48"/>
        <v>718.01337764954576</v>
      </c>
      <c r="K91" s="715">
        <f t="shared" si="48"/>
        <v>840.34637097299014</v>
      </c>
      <c r="L91" s="715">
        <f t="shared" si="48"/>
        <v>932.80471681660617</v>
      </c>
      <c r="M91" s="726">
        <f t="shared" si="48"/>
        <v>1259.9213030169235</v>
      </c>
    </row>
    <row r="92" spans="1:13" hidden="1" x14ac:dyDescent="0.2">
      <c r="A92" s="713">
        <v>5.5</v>
      </c>
      <c r="B92" s="699">
        <f t="shared" ref="B92:M92" si="49">(B97-B87)/10*5+B87</f>
        <v>68.400000000000006</v>
      </c>
      <c r="C92" s="699">
        <f t="shared" si="49"/>
        <v>74.55</v>
      </c>
      <c r="D92" s="704">
        <f t="shared" si="49"/>
        <v>134.4</v>
      </c>
      <c r="E92" s="704">
        <f t="shared" si="49"/>
        <v>178.4</v>
      </c>
      <c r="F92" s="704">
        <f t="shared" si="49"/>
        <v>219.5</v>
      </c>
      <c r="G92" s="704">
        <f t="shared" si="49"/>
        <v>449.5</v>
      </c>
      <c r="H92" s="704">
        <f t="shared" si="49"/>
        <v>477.5</v>
      </c>
      <c r="I92" s="704">
        <f t="shared" si="49"/>
        <v>406</v>
      </c>
      <c r="J92" s="715">
        <f t="shared" si="49"/>
        <v>727.94268258497095</v>
      </c>
      <c r="K92" s="715">
        <f t="shared" si="49"/>
        <v>850.98976636103907</v>
      </c>
      <c r="L92" s="715">
        <f t="shared" si="49"/>
        <v>947.90834219981525</v>
      </c>
      <c r="M92" s="726">
        <f t="shared" si="49"/>
        <v>1277.8291504803626</v>
      </c>
    </row>
    <row r="93" spans="1:13" hidden="1" x14ac:dyDescent="0.2">
      <c r="A93" s="713">
        <v>5.6</v>
      </c>
      <c r="B93" s="699">
        <f t="shared" ref="B93:M93" si="50">(B97-B87)/10*6+B87</f>
        <v>69.760000000000005</v>
      </c>
      <c r="C93" s="699">
        <f t="shared" si="50"/>
        <v>76.759999999999991</v>
      </c>
      <c r="D93" s="704">
        <f t="shared" si="50"/>
        <v>137.92000000000002</v>
      </c>
      <c r="E93" s="704">
        <f t="shared" si="50"/>
        <v>181.7</v>
      </c>
      <c r="F93" s="704">
        <f t="shared" si="50"/>
        <v>222.8</v>
      </c>
      <c r="G93" s="704">
        <f t="shared" si="50"/>
        <v>461</v>
      </c>
      <c r="H93" s="704">
        <f t="shared" si="50"/>
        <v>490.2</v>
      </c>
      <c r="I93" s="704">
        <f t="shared" si="50"/>
        <v>421.4</v>
      </c>
      <c r="J93" s="715">
        <f t="shared" si="50"/>
        <v>737.87198752039603</v>
      </c>
      <c r="K93" s="715">
        <f t="shared" si="50"/>
        <v>861.63316174908812</v>
      </c>
      <c r="L93" s="715">
        <f t="shared" si="50"/>
        <v>963.01196758302444</v>
      </c>
      <c r="M93" s="726">
        <f t="shared" si="50"/>
        <v>1295.7369979438017</v>
      </c>
    </row>
    <row r="94" spans="1:13" hidden="1" x14ac:dyDescent="0.2">
      <c r="A94" s="713">
        <v>5.7</v>
      </c>
      <c r="B94" s="699">
        <f t="shared" ref="B94:M94" si="51">(B97-B87)/10*7+B87</f>
        <v>71.12</v>
      </c>
      <c r="C94" s="699">
        <f t="shared" si="51"/>
        <v>78.97</v>
      </c>
      <c r="D94" s="704">
        <f t="shared" si="51"/>
        <v>141.44</v>
      </c>
      <c r="E94" s="704">
        <f t="shared" si="51"/>
        <v>185</v>
      </c>
      <c r="F94" s="704">
        <f t="shared" si="51"/>
        <v>226.1</v>
      </c>
      <c r="G94" s="704">
        <f t="shared" si="51"/>
        <v>472.5</v>
      </c>
      <c r="H94" s="704">
        <f t="shared" si="51"/>
        <v>502.9</v>
      </c>
      <c r="I94" s="704">
        <f t="shared" si="51"/>
        <v>436.8</v>
      </c>
      <c r="J94" s="715">
        <f t="shared" si="51"/>
        <v>747.80129245582111</v>
      </c>
      <c r="K94" s="715">
        <f t="shared" si="51"/>
        <v>872.27655713713705</v>
      </c>
      <c r="L94" s="715">
        <f t="shared" si="51"/>
        <v>978.11559296623363</v>
      </c>
      <c r="M94" s="726">
        <f t="shared" si="51"/>
        <v>1313.6448454072408</v>
      </c>
    </row>
    <row r="95" spans="1:13" hidden="1" x14ac:dyDescent="0.2">
      <c r="A95" s="713">
        <v>5.8</v>
      </c>
      <c r="B95" s="699">
        <f t="shared" ref="B95:M95" si="52">(B97-B87)/10*8+B87</f>
        <v>72.48</v>
      </c>
      <c r="C95" s="699">
        <f t="shared" si="52"/>
        <v>81.179999999999993</v>
      </c>
      <c r="D95" s="704">
        <f t="shared" si="52"/>
        <v>144.96</v>
      </c>
      <c r="E95" s="704">
        <f t="shared" si="52"/>
        <v>188.3</v>
      </c>
      <c r="F95" s="704">
        <f t="shared" si="52"/>
        <v>229.4</v>
      </c>
      <c r="G95" s="704">
        <f t="shared" si="52"/>
        <v>484</v>
      </c>
      <c r="H95" s="704">
        <f t="shared" si="52"/>
        <v>515.6</v>
      </c>
      <c r="I95" s="704">
        <f t="shared" si="52"/>
        <v>452.2</v>
      </c>
      <c r="J95" s="715">
        <f t="shared" si="52"/>
        <v>757.73059739124619</v>
      </c>
      <c r="K95" s="715">
        <f t="shared" si="52"/>
        <v>882.91995252518598</v>
      </c>
      <c r="L95" s="715">
        <f t="shared" si="52"/>
        <v>993.21921834944271</v>
      </c>
      <c r="M95" s="726">
        <f t="shared" si="52"/>
        <v>1331.5526928706802</v>
      </c>
    </row>
    <row r="96" spans="1:13" hidden="1" x14ac:dyDescent="0.2">
      <c r="A96" s="713">
        <v>5.9</v>
      </c>
      <c r="B96" s="699">
        <f t="shared" ref="B96:M96" si="53">(B97-B87)/10*9+B87</f>
        <v>73.84</v>
      </c>
      <c r="C96" s="699">
        <f t="shared" si="53"/>
        <v>83.39</v>
      </c>
      <c r="D96" s="704">
        <f t="shared" si="53"/>
        <v>148.47999999999999</v>
      </c>
      <c r="E96" s="704">
        <f t="shared" si="53"/>
        <v>191.6</v>
      </c>
      <c r="F96" s="704">
        <f t="shared" si="53"/>
        <v>232.7</v>
      </c>
      <c r="G96" s="704">
        <f t="shared" si="53"/>
        <v>495.5</v>
      </c>
      <c r="H96" s="704">
        <f t="shared" si="53"/>
        <v>528.29999999999995</v>
      </c>
      <c r="I96" s="704">
        <f t="shared" si="53"/>
        <v>467.6</v>
      </c>
      <c r="J96" s="715">
        <f t="shared" si="53"/>
        <v>767.65990232667127</v>
      </c>
      <c r="K96" s="715">
        <f t="shared" si="53"/>
        <v>893.56334791323502</v>
      </c>
      <c r="L96" s="715">
        <f t="shared" si="53"/>
        <v>1008.3228437326518</v>
      </c>
      <c r="M96" s="726">
        <f t="shared" si="53"/>
        <v>1349.4605403341193</v>
      </c>
    </row>
    <row r="97" spans="1:13" ht="15" hidden="1" x14ac:dyDescent="0.25">
      <c r="A97" s="713">
        <v>6</v>
      </c>
      <c r="B97" s="699">
        <v>75.2</v>
      </c>
      <c r="C97" s="705">
        <v>85.6</v>
      </c>
      <c r="D97" s="708">
        <v>152</v>
      </c>
      <c r="E97" s="708">
        <v>194.9</v>
      </c>
      <c r="F97" s="708">
        <v>236</v>
      </c>
      <c r="G97" s="704">
        <v>507</v>
      </c>
      <c r="H97" s="706">
        <v>541</v>
      </c>
      <c r="I97" s="704">
        <v>483</v>
      </c>
      <c r="J97" s="715">
        <v>777.58920726209635</v>
      </c>
      <c r="K97" s="715">
        <v>904.20674330128395</v>
      </c>
      <c r="L97" s="715">
        <v>1023.426469115861</v>
      </c>
      <c r="M97" s="726">
        <v>1367.3683877975584</v>
      </c>
    </row>
    <row r="98" spans="1:13" hidden="1" x14ac:dyDescent="0.2">
      <c r="A98" s="713">
        <v>6.1</v>
      </c>
      <c r="B98" s="699">
        <f t="shared" ref="B98:M98" si="54">(B107-B97)/10*1+B97</f>
        <v>76.09</v>
      </c>
      <c r="C98" s="699">
        <f t="shared" si="54"/>
        <v>87.03</v>
      </c>
      <c r="D98" s="704">
        <f t="shared" si="54"/>
        <v>154.72999999999999</v>
      </c>
      <c r="E98" s="704">
        <f t="shared" si="54"/>
        <v>198.51</v>
      </c>
      <c r="F98" s="704">
        <f t="shared" si="54"/>
        <v>241.6</v>
      </c>
      <c r="G98" s="704">
        <f t="shared" si="54"/>
        <v>516.70000000000005</v>
      </c>
      <c r="H98" s="704">
        <f t="shared" si="54"/>
        <v>553.20000000000005</v>
      </c>
      <c r="I98" s="704">
        <f t="shared" si="54"/>
        <v>496.3</v>
      </c>
      <c r="J98" s="715">
        <f t="shared" si="54"/>
        <v>786.80660342750002</v>
      </c>
      <c r="K98" s="715">
        <f t="shared" si="54"/>
        <v>913.42610531290359</v>
      </c>
      <c r="L98" s="715">
        <f t="shared" si="54"/>
        <v>1035.2657495042974</v>
      </c>
      <c r="M98" s="726">
        <f t="shared" si="54"/>
        <v>1380.8412101205038</v>
      </c>
    </row>
    <row r="99" spans="1:13" hidden="1" x14ac:dyDescent="0.2">
      <c r="A99" s="713">
        <v>6.2</v>
      </c>
      <c r="B99" s="699">
        <f t="shared" ref="B99:M99" si="55">(B107-B97)/10*2+B97</f>
        <v>76.98</v>
      </c>
      <c r="C99" s="699">
        <f t="shared" si="55"/>
        <v>88.46</v>
      </c>
      <c r="D99" s="704">
        <f t="shared" si="55"/>
        <v>157.46</v>
      </c>
      <c r="E99" s="704">
        <f t="shared" si="55"/>
        <v>202.12</v>
      </c>
      <c r="F99" s="704">
        <f t="shared" si="55"/>
        <v>247.2</v>
      </c>
      <c r="G99" s="704">
        <f t="shared" si="55"/>
        <v>526.4</v>
      </c>
      <c r="H99" s="704">
        <f t="shared" si="55"/>
        <v>565.4</v>
      </c>
      <c r="I99" s="704">
        <f t="shared" si="55"/>
        <v>509.6</v>
      </c>
      <c r="J99" s="715">
        <f t="shared" si="55"/>
        <v>796.02399959290369</v>
      </c>
      <c r="K99" s="715">
        <f t="shared" si="55"/>
        <v>922.64546732452322</v>
      </c>
      <c r="L99" s="715">
        <f t="shared" si="55"/>
        <v>1047.1050298927337</v>
      </c>
      <c r="M99" s="726">
        <f t="shared" si="55"/>
        <v>1394.3140324434492</v>
      </c>
    </row>
    <row r="100" spans="1:13" hidden="1" x14ac:dyDescent="0.2">
      <c r="A100" s="713">
        <v>6.3</v>
      </c>
      <c r="B100" s="699">
        <f t="shared" ref="B100:M100" si="56">(B107-B97)/10*3+B97</f>
        <v>77.87</v>
      </c>
      <c r="C100" s="699">
        <f t="shared" si="56"/>
        <v>89.89</v>
      </c>
      <c r="D100" s="704">
        <f t="shared" si="56"/>
        <v>160.19</v>
      </c>
      <c r="E100" s="704">
        <f t="shared" si="56"/>
        <v>205.73000000000002</v>
      </c>
      <c r="F100" s="704">
        <f t="shared" si="56"/>
        <v>252.8</v>
      </c>
      <c r="G100" s="704">
        <f t="shared" si="56"/>
        <v>536.1</v>
      </c>
      <c r="H100" s="704">
        <f t="shared" si="56"/>
        <v>577.6</v>
      </c>
      <c r="I100" s="704">
        <f t="shared" si="56"/>
        <v>522.9</v>
      </c>
      <c r="J100" s="715">
        <f t="shared" si="56"/>
        <v>805.24139575830736</v>
      </c>
      <c r="K100" s="715">
        <f t="shared" si="56"/>
        <v>931.86482933614275</v>
      </c>
      <c r="L100" s="715">
        <f t="shared" si="56"/>
        <v>1058.9443102811701</v>
      </c>
      <c r="M100" s="726">
        <f t="shared" si="56"/>
        <v>1407.7868547663945</v>
      </c>
    </row>
    <row r="101" spans="1:13" hidden="1" x14ac:dyDescent="0.2">
      <c r="A101" s="713">
        <v>6.4</v>
      </c>
      <c r="B101" s="699">
        <f t="shared" ref="B101:M101" si="57">(B107-B97)/10*4+B97</f>
        <v>78.760000000000005</v>
      </c>
      <c r="C101" s="699">
        <f t="shared" si="57"/>
        <v>91.32</v>
      </c>
      <c r="D101" s="704">
        <f t="shared" si="57"/>
        <v>162.92000000000002</v>
      </c>
      <c r="E101" s="704">
        <f t="shared" si="57"/>
        <v>209.34</v>
      </c>
      <c r="F101" s="704">
        <f t="shared" si="57"/>
        <v>258.39999999999998</v>
      </c>
      <c r="G101" s="704">
        <f t="shared" si="57"/>
        <v>545.79999999999995</v>
      </c>
      <c r="H101" s="704">
        <f t="shared" si="57"/>
        <v>589.79999999999995</v>
      </c>
      <c r="I101" s="704">
        <f t="shared" si="57"/>
        <v>536.20000000000005</v>
      </c>
      <c r="J101" s="715">
        <f t="shared" si="57"/>
        <v>814.45879192371103</v>
      </c>
      <c r="K101" s="715">
        <f t="shared" si="57"/>
        <v>941.08419134776238</v>
      </c>
      <c r="L101" s="715">
        <f t="shared" si="57"/>
        <v>1070.7835906696066</v>
      </c>
      <c r="M101" s="726">
        <f t="shared" si="57"/>
        <v>1421.2596770893399</v>
      </c>
    </row>
    <row r="102" spans="1:13" hidden="1" x14ac:dyDescent="0.2">
      <c r="A102" s="713">
        <v>6.5</v>
      </c>
      <c r="B102" s="699">
        <f t="shared" ref="B102:M102" si="58">(B107-B97)/10*5+B97</f>
        <v>79.650000000000006</v>
      </c>
      <c r="C102" s="699">
        <f t="shared" si="58"/>
        <v>92.75</v>
      </c>
      <c r="D102" s="704">
        <f t="shared" si="58"/>
        <v>165.65</v>
      </c>
      <c r="E102" s="704">
        <f t="shared" si="58"/>
        <v>212.95</v>
      </c>
      <c r="F102" s="704">
        <f t="shared" si="58"/>
        <v>264</v>
      </c>
      <c r="G102" s="704">
        <f t="shared" si="58"/>
        <v>555.5</v>
      </c>
      <c r="H102" s="704">
        <f t="shared" si="58"/>
        <v>602</v>
      </c>
      <c r="I102" s="704">
        <f t="shared" si="58"/>
        <v>549.5</v>
      </c>
      <c r="J102" s="715">
        <f t="shared" si="58"/>
        <v>823.6761880891147</v>
      </c>
      <c r="K102" s="715">
        <f t="shared" si="58"/>
        <v>950.30355335938202</v>
      </c>
      <c r="L102" s="715">
        <f t="shared" si="58"/>
        <v>1082.6228710580431</v>
      </c>
      <c r="M102" s="726">
        <f t="shared" si="58"/>
        <v>1434.7324994122853</v>
      </c>
    </row>
    <row r="103" spans="1:13" hidden="1" x14ac:dyDescent="0.2">
      <c r="A103" s="713">
        <v>6.6</v>
      </c>
      <c r="B103" s="699">
        <f t="shared" ref="B103:M103" si="59">(B107-B97)/10*6+B97</f>
        <v>80.539999999999992</v>
      </c>
      <c r="C103" s="699">
        <f t="shared" si="59"/>
        <v>94.18</v>
      </c>
      <c r="D103" s="704">
        <f t="shared" si="59"/>
        <v>168.38</v>
      </c>
      <c r="E103" s="704">
        <f t="shared" si="59"/>
        <v>216.56</v>
      </c>
      <c r="F103" s="704">
        <f t="shared" si="59"/>
        <v>269.60000000000002</v>
      </c>
      <c r="G103" s="704">
        <f t="shared" si="59"/>
        <v>565.20000000000005</v>
      </c>
      <c r="H103" s="704">
        <f t="shared" si="59"/>
        <v>614.20000000000005</v>
      </c>
      <c r="I103" s="704">
        <f t="shared" si="59"/>
        <v>562.79999999999995</v>
      </c>
      <c r="J103" s="715">
        <f t="shared" si="59"/>
        <v>832.89358425451849</v>
      </c>
      <c r="K103" s="715">
        <f t="shared" si="59"/>
        <v>959.52291537100166</v>
      </c>
      <c r="L103" s="715">
        <f t="shared" si="59"/>
        <v>1094.4621514464793</v>
      </c>
      <c r="M103" s="726">
        <f t="shared" si="59"/>
        <v>1448.2053217352307</v>
      </c>
    </row>
    <row r="104" spans="1:13" hidden="1" x14ac:dyDescent="0.2">
      <c r="A104" s="713">
        <v>6.7</v>
      </c>
      <c r="B104" s="699">
        <f t="shared" ref="B104:M104" si="60">(B107-B97)/10*7+B97</f>
        <v>81.429999999999993</v>
      </c>
      <c r="C104" s="699">
        <f t="shared" si="60"/>
        <v>95.61</v>
      </c>
      <c r="D104" s="704">
        <f t="shared" si="60"/>
        <v>171.11</v>
      </c>
      <c r="E104" s="704">
        <f t="shared" si="60"/>
        <v>220.17000000000002</v>
      </c>
      <c r="F104" s="704">
        <f t="shared" si="60"/>
        <v>275.2</v>
      </c>
      <c r="G104" s="704">
        <f t="shared" si="60"/>
        <v>574.9</v>
      </c>
      <c r="H104" s="704">
        <f t="shared" si="60"/>
        <v>626.4</v>
      </c>
      <c r="I104" s="704">
        <f t="shared" si="60"/>
        <v>576.1</v>
      </c>
      <c r="J104" s="715">
        <f t="shared" si="60"/>
        <v>842.11098041992216</v>
      </c>
      <c r="K104" s="715">
        <f t="shared" si="60"/>
        <v>968.7422773826213</v>
      </c>
      <c r="L104" s="715">
        <f t="shared" si="60"/>
        <v>1106.3014318349158</v>
      </c>
      <c r="M104" s="726">
        <f t="shared" si="60"/>
        <v>1461.678144058176</v>
      </c>
    </row>
    <row r="105" spans="1:13" hidden="1" x14ac:dyDescent="0.2">
      <c r="A105" s="713">
        <v>6.8</v>
      </c>
      <c r="B105" s="699">
        <f t="shared" ref="B105:M105" si="61">(B107-B97)/10*8+B97</f>
        <v>82.32</v>
      </c>
      <c r="C105" s="699">
        <f t="shared" si="61"/>
        <v>97.04</v>
      </c>
      <c r="D105" s="704">
        <f t="shared" si="61"/>
        <v>173.84</v>
      </c>
      <c r="E105" s="704">
        <f t="shared" si="61"/>
        <v>223.78</v>
      </c>
      <c r="F105" s="704">
        <f t="shared" si="61"/>
        <v>280.8</v>
      </c>
      <c r="G105" s="704">
        <f t="shared" si="61"/>
        <v>584.6</v>
      </c>
      <c r="H105" s="704">
        <f t="shared" si="61"/>
        <v>638.6</v>
      </c>
      <c r="I105" s="704">
        <f t="shared" si="61"/>
        <v>589.4</v>
      </c>
      <c r="J105" s="715">
        <f t="shared" si="61"/>
        <v>851.32837658532583</v>
      </c>
      <c r="K105" s="715">
        <f t="shared" si="61"/>
        <v>977.96163939424082</v>
      </c>
      <c r="L105" s="715">
        <f t="shared" si="61"/>
        <v>1118.1407122233522</v>
      </c>
      <c r="M105" s="726">
        <f t="shared" si="61"/>
        <v>1475.1509663811214</v>
      </c>
    </row>
    <row r="106" spans="1:13" hidden="1" x14ac:dyDescent="0.2">
      <c r="A106" s="713">
        <v>6.9</v>
      </c>
      <c r="B106" s="699">
        <f t="shared" ref="B106:M106" si="62">(B107-B97)/10*9+B97</f>
        <v>83.21</v>
      </c>
      <c r="C106" s="699">
        <f t="shared" si="62"/>
        <v>98.47</v>
      </c>
      <c r="D106" s="704">
        <f t="shared" si="62"/>
        <v>176.57000000000002</v>
      </c>
      <c r="E106" s="704">
        <f t="shared" si="62"/>
        <v>227.39</v>
      </c>
      <c r="F106" s="704">
        <f t="shared" si="62"/>
        <v>286.39999999999998</v>
      </c>
      <c r="G106" s="704">
        <f t="shared" si="62"/>
        <v>594.29999999999995</v>
      </c>
      <c r="H106" s="704">
        <f t="shared" si="62"/>
        <v>650.79999999999995</v>
      </c>
      <c r="I106" s="704">
        <f t="shared" si="62"/>
        <v>602.70000000000005</v>
      </c>
      <c r="J106" s="715">
        <f t="shared" si="62"/>
        <v>860.5457727507295</v>
      </c>
      <c r="K106" s="715">
        <f t="shared" si="62"/>
        <v>987.18100140586046</v>
      </c>
      <c r="L106" s="715">
        <f t="shared" si="62"/>
        <v>1129.9799926117885</v>
      </c>
      <c r="M106" s="726">
        <f t="shared" si="62"/>
        <v>1488.6237887040668</v>
      </c>
    </row>
    <row r="107" spans="1:13" ht="15" hidden="1" x14ac:dyDescent="0.25">
      <c r="A107" s="713">
        <v>7</v>
      </c>
      <c r="B107" s="699">
        <v>84.1</v>
      </c>
      <c r="C107" s="705">
        <v>99.9</v>
      </c>
      <c r="D107" s="708">
        <v>179.3</v>
      </c>
      <c r="E107" s="708">
        <v>231</v>
      </c>
      <c r="F107" s="708">
        <v>292</v>
      </c>
      <c r="G107" s="704">
        <v>604</v>
      </c>
      <c r="H107" s="706">
        <v>663</v>
      </c>
      <c r="I107" s="704">
        <v>616</v>
      </c>
      <c r="J107" s="715">
        <v>869.76316891613317</v>
      </c>
      <c r="K107" s="715">
        <v>996.40036341748009</v>
      </c>
      <c r="L107" s="715">
        <v>1141.8192730002249</v>
      </c>
      <c r="M107" s="726">
        <v>1502.0966110270122</v>
      </c>
    </row>
    <row r="108" spans="1:13" hidden="1" x14ac:dyDescent="0.2">
      <c r="A108" s="713">
        <v>7.1</v>
      </c>
      <c r="B108" s="699">
        <f t="shared" ref="B108:M108" si="63">(B117-B107)/10*1+B107</f>
        <v>84.759999999999991</v>
      </c>
      <c r="C108" s="704">
        <f t="shared" si="63"/>
        <v>100.85000000000001</v>
      </c>
      <c r="D108" s="704">
        <f t="shared" si="63"/>
        <v>181.66000000000003</v>
      </c>
      <c r="E108" s="704">
        <f t="shared" si="63"/>
        <v>233.86</v>
      </c>
      <c r="F108" s="704">
        <f t="shared" si="63"/>
        <v>297.8</v>
      </c>
      <c r="G108" s="704">
        <f t="shared" si="63"/>
        <v>612.6</v>
      </c>
      <c r="H108" s="704">
        <f t="shared" si="63"/>
        <v>675.3</v>
      </c>
      <c r="I108" s="704">
        <f t="shared" si="63"/>
        <v>629.6</v>
      </c>
      <c r="J108" s="715">
        <f t="shared" si="63"/>
        <v>878.17811058361599</v>
      </c>
      <c r="K108" s="715">
        <f t="shared" si="63"/>
        <v>1004.7412383826354</v>
      </c>
      <c r="L108" s="715">
        <f t="shared" si="63"/>
        <v>1155.5018306314973</v>
      </c>
      <c r="M108" s="726">
        <f t="shared" si="63"/>
        <v>1512.7934353709682</v>
      </c>
    </row>
    <row r="109" spans="1:13" hidden="1" x14ac:dyDescent="0.2">
      <c r="A109" s="713">
        <v>7.2</v>
      </c>
      <c r="B109" s="699">
        <f t="shared" ref="B109:M109" si="64">(B117-B107)/10*2+B107</f>
        <v>85.42</v>
      </c>
      <c r="C109" s="704">
        <f t="shared" si="64"/>
        <v>101.80000000000001</v>
      </c>
      <c r="D109" s="704">
        <f t="shared" si="64"/>
        <v>184.02</v>
      </c>
      <c r="E109" s="704">
        <f t="shared" si="64"/>
        <v>236.72</v>
      </c>
      <c r="F109" s="704">
        <f t="shared" si="64"/>
        <v>303.60000000000002</v>
      </c>
      <c r="G109" s="704">
        <f t="shared" si="64"/>
        <v>621.20000000000005</v>
      </c>
      <c r="H109" s="704">
        <f t="shared" si="64"/>
        <v>687.6</v>
      </c>
      <c r="I109" s="704">
        <f t="shared" si="64"/>
        <v>643.20000000000005</v>
      </c>
      <c r="J109" s="715">
        <f t="shared" si="64"/>
        <v>886.59305225109881</v>
      </c>
      <c r="K109" s="715">
        <f t="shared" si="64"/>
        <v>1013.0821133477907</v>
      </c>
      <c r="L109" s="715">
        <f t="shared" si="64"/>
        <v>1169.1843882627697</v>
      </c>
      <c r="M109" s="726">
        <f t="shared" si="64"/>
        <v>1523.4902597149239</v>
      </c>
    </row>
    <row r="110" spans="1:13" hidden="1" x14ac:dyDescent="0.2">
      <c r="A110" s="713">
        <v>7.3</v>
      </c>
      <c r="B110" s="699">
        <f t="shared" ref="B110:M110" si="65">(B117-B107)/10*3+B107</f>
        <v>86.08</v>
      </c>
      <c r="C110" s="704">
        <f t="shared" si="65"/>
        <v>102.75</v>
      </c>
      <c r="D110" s="704">
        <f t="shared" si="65"/>
        <v>186.38</v>
      </c>
      <c r="E110" s="704">
        <f t="shared" si="65"/>
        <v>239.58</v>
      </c>
      <c r="F110" s="704">
        <f t="shared" si="65"/>
        <v>309.39999999999998</v>
      </c>
      <c r="G110" s="704">
        <f t="shared" si="65"/>
        <v>629.79999999999995</v>
      </c>
      <c r="H110" s="704">
        <f t="shared" si="65"/>
        <v>699.9</v>
      </c>
      <c r="I110" s="704">
        <f t="shared" si="65"/>
        <v>656.8</v>
      </c>
      <c r="J110" s="715">
        <f t="shared" si="65"/>
        <v>895.00799391858152</v>
      </c>
      <c r="K110" s="715">
        <f t="shared" si="65"/>
        <v>1021.4229883129459</v>
      </c>
      <c r="L110" s="715">
        <f t="shared" si="65"/>
        <v>1182.8669458940421</v>
      </c>
      <c r="M110" s="726">
        <f t="shared" si="65"/>
        <v>1534.1870840588799</v>
      </c>
    </row>
    <row r="111" spans="1:13" hidden="1" x14ac:dyDescent="0.2">
      <c r="A111" s="713">
        <v>7.4</v>
      </c>
      <c r="B111" s="699">
        <f t="shared" ref="B111:M111" si="66">(B117-B107)/10*4+B107</f>
        <v>86.74</v>
      </c>
      <c r="C111" s="704">
        <f t="shared" si="66"/>
        <v>103.7</v>
      </c>
      <c r="D111" s="704">
        <f t="shared" si="66"/>
        <v>188.74</v>
      </c>
      <c r="E111" s="704">
        <f t="shared" si="66"/>
        <v>242.44</v>
      </c>
      <c r="F111" s="704">
        <f t="shared" si="66"/>
        <v>315.2</v>
      </c>
      <c r="G111" s="704">
        <f t="shared" si="66"/>
        <v>638.4</v>
      </c>
      <c r="H111" s="704">
        <f t="shared" si="66"/>
        <v>712.2</v>
      </c>
      <c r="I111" s="704">
        <f t="shared" si="66"/>
        <v>670.4</v>
      </c>
      <c r="J111" s="715">
        <f t="shared" si="66"/>
        <v>903.42293558606434</v>
      </c>
      <c r="K111" s="715">
        <f t="shared" si="66"/>
        <v>1029.7638632781013</v>
      </c>
      <c r="L111" s="715">
        <f t="shared" si="66"/>
        <v>1196.5495035253145</v>
      </c>
      <c r="M111" s="726">
        <f t="shared" si="66"/>
        <v>1544.8839084028357</v>
      </c>
    </row>
    <row r="112" spans="1:13" hidden="1" x14ac:dyDescent="0.2">
      <c r="A112" s="713">
        <v>7.5</v>
      </c>
      <c r="B112" s="699">
        <f t="shared" ref="B112:M112" si="67">(B117-B107)/10*5+B107</f>
        <v>87.4</v>
      </c>
      <c r="C112" s="704">
        <f t="shared" si="67"/>
        <v>104.65</v>
      </c>
      <c r="D112" s="704">
        <f t="shared" si="67"/>
        <v>191.10000000000002</v>
      </c>
      <c r="E112" s="704">
        <f t="shared" si="67"/>
        <v>245.3</v>
      </c>
      <c r="F112" s="704">
        <f t="shared" si="67"/>
        <v>321</v>
      </c>
      <c r="G112" s="704">
        <f t="shared" si="67"/>
        <v>647</v>
      </c>
      <c r="H112" s="704">
        <f t="shared" si="67"/>
        <v>724.5</v>
      </c>
      <c r="I112" s="704">
        <f t="shared" si="67"/>
        <v>684</v>
      </c>
      <c r="J112" s="715">
        <f t="shared" si="67"/>
        <v>911.83787725354716</v>
      </c>
      <c r="K112" s="715">
        <f t="shared" si="67"/>
        <v>1038.1047382432566</v>
      </c>
      <c r="L112" s="715">
        <f t="shared" si="67"/>
        <v>1210.232061156587</v>
      </c>
      <c r="M112" s="726">
        <f t="shared" si="67"/>
        <v>1555.5807327467917</v>
      </c>
    </row>
    <row r="113" spans="1:13" hidden="1" x14ac:dyDescent="0.2">
      <c r="A113" s="713">
        <v>7.6</v>
      </c>
      <c r="B113" s="699">
        <f t="shared" ref="B113:M113" si="68">(B117-B107)/10*6+B107</f>
        <v>88.06</v>
      </c>
      <c r="C113" s="704">
        <f t="shared" si="68"/>
        <v>105.60000000000001</v>
      </c>
      <c r="D113" s="704">
        <f t="shared" si="68"/>
        <v>193.46</v>
      </c>
      <c r="E113" s="704">
        <f t="shared" si="68"/>
        <v>248.16000000000003</v>
      </c>
      <c r="F113" s="704">
        <f t="shared" si="68"/>
        <v>326.8</v>
      </c>
      <c r="G113" s="704">
        <f t="shared" si="68"/>
        <v>655.6</v>
      </c>
      <c r="H113" s="704">
        <f t="shared" si="68"/>
        <v>736.8</v>
      </c>
      <c r="I113" s="704">
        <f t="shared" si="68"/>
        <v>697.6</v>
      </c>
      <c r="J113" s="715">
        <f t="shared" si="68"/>
        <v>920.25281892102998</v>
      </c>
      <c r="K113" s="715">
        <f t="shared" si="68"/>
        <v>1046.4456132084117</v>
      </c>
      <c r="L113" s="715">
        <f t="shared" si="68"/>
        <v>1223.9146187878596</v>
      </c>
      <c r="M113" s="726">
        <f t="shared" si="68"/>
        <v>1566.2775570907477</v>
      </c>
    </row>
    <row r="114" spans="1:13" hidden="1" x14ac:dyDescent="0.2">
      <c r="A114" s="713">
        <v>7.7</v>
      </c>
      <c r="B114" s="699">
        <f t="shared" ref="B114:M114" si="69">(B117-B107)/10*7+B107</f>
        <v>88.72</v>
      </c>
      <c r="C114" s="704">
        <f t="shared" si="69"/>
        <v>106.55000000000001</v>
      </c>
      <c r="D114" s="704">
        <f t="shared" si="69"/>
        <v>195.82</v>
      </c>
      <c r="E114" s="704">
        <f t="shared" si="69"/>
        <v>251.02</v>
      </c>
      <c r="F114" s="704">
        <f t="shared" si="69"/>
        <v>332.6</v>
      </c>
      <c r="G114" s="704">
        <f t="shared" si="69"/>
        <v>664.2</v>
      </c>
      <c r="H114" s="704">
        <f t="shared" si="69"/>
        <v>749.1</v>
      </c>
      <c r="I114" s="704">
        <f t="shared" si="69"/>
        <v>711.2</v>
      </c>
      <c r="J114" s="715">
        <f t="shared" si="69"/>
        <v>928.66776058851281</v>
      </c>
      <c r="K114" s="715">
        <f t="shared" si="69"/>
        <v>1054.786488173567</v>
      </c>
      <c r="L114" s="715">
        <f t="shared" si="69"/>
        <v>1237.597176419132</v>
      </c>
      <c r="M114" s="726">
        <f t="shared" si="69"/>
        <v>1576.9743814347034</v>
      </c>
    </row>
    <row r="115" spans="1:13" hidden="1" x14ac:dyDescent="0.2">
      <c r="A115" s="713">
        <v>7.8</v>
      </c>
      <c r="B115" s="699">
        <f t="shared" ref="B115:M115" si="70">(B117-B107)/10*8+B107</f>
        <v>89.38</v>
      </c>
      <c r="C115" s="704">
        <f t="shared" si="70"/>
        <v>107.5</v>
      </c>
      <c r="D115" s="704">
        <f t="shared" si="70"/>
        <v>198.18</v>
      </c>
      <c r="E115" s="704">
        <f t="shared" si="70"/>
        <v>253.88000000000002</v>
      </c>
      <c r="F115" s="704">
        <f t="shared" si="70"/>
        <v>338.4</v>
      </c>
      <c r="G115" s="704">
        <f t="shared" si="70"/>
        <v>672.8</v>
      </c>
      <c r="H115" s="704">
        <f t="shared" si="70"/>
        <v>761.4</v>
      </c>
      <c r="I115" s="704">
        <f t="shared" si="70"/>
        <v>724.8</v>
      </c>
      <c r="J115" s="715">
        <f t="shared" si="70"/>
        <v>937.08270225599551</v>
      </c>
      <c r="K115" s="715">
        <f t="shared" si="70"/>
        <v>1063.1273631387223</v>
      </c>
      <c r="L115" s="715">
        <f t="shared" si="70"/>
        <v>1251.2797340504044</v>
      </c>
      <c r="M115" s="726">
        <f t="shared" si="70"/>
        <v>1587.6712057786594</v>
      </c>
    </row>
    <row r="116" spans="1:13" hidden="1" x14ac:dyDescent="0.2">
      <c r="A116" s="713">
        <v>7.9</v>
      </c>
      <c r="B116" s="699">
        <f t="shared" ref="B116:M116" si="71">(B117-B107)/10*9+B107</f>
        <v>90.04</v>
      </c>
      <c r="C116" s="704">
        <f t="shared" si="71"/>
        <v>108.45</v>
      </c>
      <c r="D116" s="704">
        <f t="shared" si="71"/>
        <v>200.54000000000002</v>
      </c>
      <c r="E116" s="704">
        <f t="shared" si="71"/>
        <v>256.74</v>
      </c>
      <c r="F116" s="704">
        <f t="shared" si="71"/>
        <v>344.2</v>
      </c>
      <c r="G116" s="704">
        <f t="shared" si="71"/>
        <v>681.4</v>
      </c>
      <c r="H116" s="704">
        <f t="shared" si="71"/>
        <v>773.7</v>
      </c>
      <c r="I116" s="704">
        <f t="shared" si="71"/>
        <v>738.4</v>
      </c>
      <c r="J116" s="715">
        <f t="shared" si="71"/>
        <v>945.49764392347834</v>
      </c>
      <c r="K116" s="715">
        <f t="shared" si="71"/>
        <v>1071.4682381038776</v>
      </c>
      <c r="L116" s="715">
        <f t="shared" si="71"/>
        <v>1264.9622916816768</v>
      </c>
      <c r="M116" s="726">
        <f t="shared" si="71"/>
        <v>1598.3680301226152</v>
      </c>
    </row>
    <row r="117" spans="1:13" ht="15" hidden="1" x14ac:dyDescent="0.25">
      <c r="A117" s="713">
        <v>8</v>
      </c>
      <c r="B117" s="699">
        <v>90.7</v>
      </c>
      <c r="C117" s="709">
        <v>109.4</v>
      </c>
      <c r="D117" s="708">
        <v>202.9</v>
      </c>
      <c r="E117" s="708">
        <v>259.60000000000002</v>
      </c>
      <c r="F117" s="708">
        <v>350</v>
      </c>
      <c r="G117" s="704">
        <v>690</v>
      </c>
      <c r="H117" s="706">
        <v>786</v>
      </c>
      <c r="I117" s="704">
        <v>752</v>
      </c>
      <c r="J117" s="715">
        <v>953.91258559096116</v>
      </c>
      <c r="K117" s="715">
        <v>1079.8091130690329</v>
      </c>
      <c r="L117" s="715">
        <v>1278.6448493129492</v>
      </c>
      <c r="M117" s="726">
        <v>1609.0648544665712</v>
      </c>
    </row>
    <row r="118" spans="1:13" hidden="1" x14ac:dyDescent="0.2">
      <c r="A118" s="713">
        <v>8.1</v>
      </c>
      <c r="B118" s="699">
        <f t="shared" ref="B118:M118" si="72">(B127-B117)/10*1+B117</f>
        <v>91.09</v>
      </c>
      <c r="C118" s="704">
        <f t="shared" si="72"/>
        <v>110.36</v>
      </c>
      <c r="D118" s="704">
        <f t="shared" si="72"/>
        <v>204.11</v>
      </c>
      <c r="E118" s="704">
        <f t="shared" si="72"/>
        <v>262.54000000000002</v>
      </c>
      <c r="F118" s="704">
        <f t="shared" si="72"/>
        <v>355.3</v>
      </c>
      <c r="G118" s="704">
        <f t="shared" si="72"/>
        <v>699.3</v>
      </c>
      <c r="H118" s="704">
        <f t="shared" si="72"/>
        <v>799.1</v>
      </c>
      <c r="I118" s="704">
        <f t="shared" si="72"/>
        <v>765.3</v>
      </c>
      <c r="J118" s="715">
        <f t="shared" si="72"/>
        <v>959.0790576994375</v>
      </c>
      <c r="K118" s="715">
        <f t="shared" si="72"/>
        <v>1083.8874084598876</v>
      </c>
      <c r="L118" s="715">
        <f t="shared" si="72"/>
        <v>1284.3629323427117</v>
      </c>
      <c r="M118" s="726">
        <f t="shared" si="72"/>
        <v>1618.276460840887</v>
      </c>
    </row>
    <row r="119" spans="1:13" hidden="1" x14ac:dyDescent="0.2">
      <c r="A119" s="713">
        <v>8.1999999999999993</v>
      </c>
      <c r="B119" s="699">
        <f t="shared" ref="B119:M119" si="73">(B127-B117)/10*2+B117</f>
        <v>91.48</v>
      </c>
      <c r="C119" s="704">
        <f t="shared" si="73"/>
        <v>111.32000000000001</v>
      </c>
      <c r="D119" s="704">
        <f t="shared" si="73"/>
        <v>205.32</v>
      </c>
      <c r="E119" s="704">
        <f t="shared" si="73"/>
        <v>265.48</v>
      </c>
      <c r="F119" s="704">
        <f t="shared" si="73"/>
        <v>360.6</v>
      </c>
      <c r="G119" s="704">
        <f t="shared" si="73"/>
        <v>708.6</v>
      </c>
      <c r="H119" s="704">
        <f t="shared" si="73"/>
        <v>812.2</v>
      </c>
      <c r="I119" s="704">
        <f t="shared" si="73"/>
        <v>778.6</v>
      </c>
      <c r="J119" s="715">
        <f t="shared" si="73"/>
        <v>964.24552980791384</v>
      </c>
      <c r="K119" s="715">
        <f t="shared" si="73"/>
        <v>1087.9657038507423</v>
      </c>
      <c r="L119" s="715">
        <f t="shared" si="73"/>
        <v>1290.0810153724744</v>
      </c>
      <c r="M119" s="726">
        <f t="shared" si="73"/>
        <v>1627.4880672152026</v>
      </c>
    </row>
    <row r="120" spans="1:13" hidden="1" x14ac:dyDescent="0.2">
      <c r="A120" s="713">
        <v>8.3000000000000007</v>
      </c>
      <c r="B120" s="699">
        <f t="shared" ref="B120:M120" si="74">(B127-B117)/10*3+B117</f>
        <v>91.87</v>
      </c>
      <c r="C120" s="704">
        <f t="shared" si="74"/>
        <v>112.28</v>
      </c>
      <c r="D120" s="704">
        <f t="shared" si="74"/>
        <v>206.53</v>
      </c>
      <c r="E120" s="704">
        <f t="shared" si="74"/>
        <v>268.42</v>
      </c>
      <c r="F120" s="704">
        <f t="shared" si="74"/>
        <v>365.9</v>
      </c>
      <c r="G120" s="704">
        <f t="shared" si="74"/>
        <v>717.9</v>
      </c>
      <c r="H120" s="704">
        <f t="shared" si="74"/>
        <v>825.3</v>
      </c>
      <c r="I120" s="704">
        <f t="shared" si="74"/>
        <v>791.9</v>
      </c>
      <c r="J120" s="715">
        <f t="shared" si="74"/>
        <v>969.41200191639007</v>
      </c>
      <c r="K120" s="715">
        <f t="shared" si="74"/>
        <v>1092.043999241597</v>
      </c>
      <c r="L120" s="715">
        <f t="shared" si="74"/>
        <v>1295.799098402237</v>
      </c>
      <c r="M120" s="726">
        <f t="shared" si="74"/>
        <v>1636.6996735895184</v>
      </c>
    </row>
    <row r="121" spans="1:13" hidden="1" x14ac:dyDescent="0.2">
      <c r="A121" s="713">
        <v>8.4</v>
      </c>
      <c r="B121" s="699">
        <f t="shared" ref="B121:M121" si="75">(B127-B117)/10*4+B117</f>
        <v>92.26</v>
      </c>
      <c r="C121" s="704">
        <f t="shared" si="75"/>
        <v>113.24000000000001</v>
      </c>
      <c r="D121" s="704">
        <f t="shared" si="75"/>
        <v>207.74</v>
      </c>
      <c r="E121" s="704">
        <f t="shared" si="75"/>
        <v>271.36</v>
      </c>
      <c r="F121" s="704">
        <f t="shared" si="75"/>
        <v>371.2</v>
      </c>
      <c r="G121" s="704">
        <f t="shared" si="75"/>
        <v>727.2</v>
      </c>
      <c r="H121" s="704">
        <f t="shared" si="75"/>
        <v>838.4</v>
      </c>
      <c r="I121" s="704">
        <f t="shared" si="75"/>
        <v>805.2</v>
      </c>
      <c r="J121" s="715">
        <f t="shared" si="75"/>
        <v>974.57847402486641</v>
      </c>
      <c r="K121" s="715">
        <f t="shared" si="75"/>
        <v>1096.1222946324517</v>
      </c>
      <c r="L121" s="715">
        <f t="shared" si="75"/>
        <v>1301.5171814319997</v>
      </c>
      <c r="M121" s="726">
        <f t="shared" si="75"/>
        <v>1645.911279963834</v>
      </c>
    </row>
    <row r="122" spans="1:13" hidden="1" x14ac:dyDescent="0.2">
      <c r="A122" s="713">
        <v>8.5</v>
      </c>
      <c r="B122" s="699">
        <f t="shared" ref="B122:M122" si="76">(B127-B117)/10*5+B117</f>
        <v>92.65</v>
      </c>
      <c r="C122" s="704">
        <f t="shared" si="76"/>
        <v>114.2</v>
      </c>
      <c r="D122" s="704">
        <f t="shared" si="76"/>
        <v>208.95</v>
      </c>
      <c r="E122" s="704">
        <f t="shared" si="76"/>
        <v>274.3</v>
      </c>
      <c r="F122" s="704">
        <f t="shared" si="76"/>
        <v>376.5</v>
      </c>
      <c r="G122" s="704">
        <f t="shared" si="76"/>
        <v>736.5</v>
      </c>
      <c r="H122" s="704">
        <f t="shared" si="76"/>
        <v>851.5</v>
      </c>
      <c r="I122" s="704">
        <f t="shared" si="76"/>
        <v>818.5</v>
      </c>
      <c r="J122" s="715">
        <f t="shared" si="76"/>
        <v>979.74494613334275</v>
      </c>
      <c r="K122" s="715">
        <f t="shared" si="76"/>
        <v>1100.2005900233066</v>
      </c>
      <c r="L122" s="715">
        <f t="shared" si="76"/>
        <v>1307.2352644617622</v>
      </c>
      <c r="M122" s="726">
        <f t="shared" si="76"/>
        <v>1655.1228863381498</v>
      </c>
    </row>
    <row r="123" spans="1:13" hidden="1" x14ac:dyDescent="0.2">
      <c r="A123" s="713">
        <v>8.6</v>
      </c>
      <c r="B123" s="699">
        <f t="shared" ref="B123:M123" si="77">(B127-B117)/10*6+B117</f>
        <v>93.039999999999992</v>
      </c>
      <c r="C123" s="704">
        <f t="shared" si="77"/>
        <v>115.16</v>
      </c>
      <c r="D123" s="704">
        <f t="shared" si="77"/>
        <v>210.16</v>
      </c>
      <c r="E123" s="704">
        <f t="shared" si="77"/>
        <v>277.24</v>
      </c>
      <c r="F123" s="704">
        <f t="shared" si="77"/>
        <v>381.8</v>
      </c>
      <c r="G123" s="704">
        <f t="shared" si="77"/>
        <v>745.8</v>
      </c>
      <c r="H123" s="704">
        <f t="shared" si="77"/>
        <v>864.6</v>
      </c>
      <c r="I123" s="704">
        <f t="shared" si="77"/>
        <v>831.8</v>
      </c>
      <c r="J123" s="715">
        <f t="shared" si="77"/>
        <v>984.91141824181909</v>
      </c>
      <c r="K123" s="715">
        <f t="shared" si="77"/>
        <v>1104.2788854141613</v>
      </c>
      <c r="L123" s="715">
        <f t="shared" si="77"/>
        <v>1312.9533474915247</v>
      </c>
      <c r="M123" s="726">
        <f t="shared" si="77"/>
        <v>1664.3344927124656</v>
      </c>
    </row>
    <row r="124" spans="1:13" hidden="1" x14ac:dyDescent="0.2">
      <c r="A124" s="713">
        <v>8.6999999999999993</v>
      </c>
      <c r="B124" s="699">
        <f t="shared" ref="B124:M124" si="78">(B127-B117)/10*7+B117</f>
        <v>93.429999999999993</v>
      </c>
      <c r="C124" s="704">
        <f t="shared" si="78"/>
        <v>116.12</v>
      </c>
      <c r="D124" s="704">
        <f t="shared" si="78"/>
        <v>211.37</v>
      </c>
      <c r="E124" s="704">
        <f t="shared" si="78"/>
        <v>280.18</v>
      </c>
      <c r="F124" s="704">
        <f t="shared" si="78"/>
        <v>387.1</v>
      </c>
      <c r="G124" s="704">
        <f t="shared" si="78"/>
        <v>755.1</v>
      </c>
      <c r="H124" s="704">
        <f t="shared" si="78"/>
        <v>877.7</v>
      </c>
      <c r="I124" s="704">
        <f t="shared" si="78"/>
        <v>845.1</v>
      </c>
      <c r="J124" s="715">
        <f t="shared" si="78"/>
        <v>990.07789035029543</v>
      </c>
      <c r="K124" s="715">
        <f t="shared" si="78"/>
        <v>1108.357180805016</v>
      </c>
      <c r="L124" s="715">
        <f t="shared" si="78"/>
        <v>1318.6714305212874</v>
      </c>
      <c r="M124" s="726">
        <f t="shared" si="78"/>
        <v>1673.5460990867812</v>
      </c>
    </row>
    <row r="125" spans="1:13" hidden="1" x14ac:dyDescent="0.2">
      <c r="A125" s="713">
        <v>8.8000000000000007</v>
      </c>
      <c r="B125" s="699">
        <f t="shared" ref="B125:M125" si="79">(B127-B117)/10*8+B117</f>
        <v>93.82</v>
      </c>
      <c r="C125" s="704">
        <f t="shared" si="79"/>
        <v>117.08</v>
      </c>
      <c r="D125" s="704">
        <f t="shared" si="79"/>
        <v>212.58</v>
      </c>
      <c r="E125" s="704">
        <f t="shared" si="79"/>
        <v>283.12</v>
      </c>
      <c r="F125" s="704">
        <f t="shared" si="79"/>
        <v>392.4</v>
      </c>
      <c r="G125" s="704">
        <f t="shared" si="79"/>
        <v>764.4</v>
      </c>
      <c r="H125" s="704">
        <f t="shared" si="79"/>
        <v>890.8</v>
      </c>
      <c r="I125" s="704">
        <f t="shared" si="79"/>
        <v>858.4</v>
      </c>
      <c r="J125" s="715">
        <f t="shared" si="79"/>
        <v>995.24436245877166</v>
      </c>
      <c r="K125" s="715">
        <f t="shared" si="79"/>
        <v>1112.4354761958707</v>
      </c>
      <c r="L125" s="715">
        <f t="shared" si="79"/>
        <v>1324.38951355105</v>
      </c>
      <c r="M125" s="726">
        <f t="shared" si="79"/>
        <v>1682.757705461097</v>
      </c>
    </row>
    <row r="126" spans="1:13" hidden="1" x14ac:dyDescent="0.2">
      <c r="A126" s="713">
        <v>8.9</v>
      </c>
      <c r="B126" s="699">
        <f t="shared" ref="B126:M126" si="80">(B127-B117)/10*9+B117</f>
        <v>94.21</v>
      </c>
      <c r="C126" s="704">
        <f t="shared" si="80"/>
        <v>118.04</v>
      </c>
      <c r="D126" s="704">
        <f t="shared" si="80"/>
        <v>213.79</v>
      </c>
      <c r="E126" s="704">
        <f t="shared" si="80"/>
        <v>286.06</v>
      </c>
      <c r="F126" s="704">
        <f t="shared" si="80"/>
        <v>397.7</v>
      </c>
      <c r="G126" s="704">
        <f t="shared" si="80"/>
        <v>773.7</v>
      </c>
      <c r="H126" s="704">
        <f t="shared" si="80"/>
        <v>903.9</v>
      </c>
      <c r="I126" s="704">
        <f t="shared" si="80"/>
        <v>871.7</v>
      </c>
      <c r="J126" s="715">
        <f t="shared" si="80"/>
        <v>1000.410834567248</v>
      </c>
      <c r="K126" s="715">
        <f t="shared" si="80"/>
        <v>1116.5137715867254</v>
      </c>
      <c r="L126" s="715">
        <f t="shared" si="80"/>
        <v>1330.1075965808127</v>
      </c>
      <c r="M126" s="726">
        <f t="shared" si="80"/>
        <v>1691.9693118354126</v>
      </c>
    </row>
    <row r="127" spans="1:13" hidden="1" x14ac:dyDescent="0.2">
      <c r="A127" s="713">
        <v>9</v>
      </c>
      <c r="B127" s="699">
        <v>94.6</v>
      </c>
      <c r="C127" s="704">
        <v>119</v>
      </c>
      <c r="D127" s="704">
        <v>215</v>
      </c>
      <c r="E127" s="704">
        <v>289</v>
      </c>
      <c r="F127" s="704">
        <v>403</v>
      </c>
      <c r="G127" s="704">
        <v>783</v>
      </c>
      <c r="H127" s="706">
        <v>917</v>
      </c>
      <c r="I127" s="704">
        <v>885</v>
      </c>
      <c r="J127" s="715">
        <v>1005.5773066757243</v>
      </c>
      <c r="K127" s="715">
        <v>1120.5920669775801</v>
      </c>
      <c r="L127" s="715">
        <v>1335.8256796105752</v>
      </c>
      <c r="M127" s="726">
        <v>1701.1809182097284</v>
      </c>
    </row>
    <row r="128" spans="1:13" hidden="1" x14ac:dyDescent="0.2">
      <c r="A128" s="713">
        <v>9.1</v>
      </c>
      <c r="B128" s="704"/>
      <c r="C128" s="704"/>
      <c r="D128" s="704"/>
      <c r="E128" s="704"/>
      <c r="F128" s="704"/>
      <c r="G128" s="281">
        <f t="shared" ref="G128" si="81">(G137-G127)/10*1+G127</f>
        <v>789.9</v>
      </c>
      <c r="H128" s="704">
        <f t="shared" ref="H128:M128" si="82">(H137-H127)/10*1+H127</f>
        <v>928.3</v>
      </c>
      <c r="I128" s="704">
        <f t="shared" si="82"/>
        <v>899.5</v>
      </c>
      <c r="J128" s="715">
        <f t="shared" si="82"/>
        <v>1007.8487606367211</v>
      </c>
      <c r="K128" s="715">
        <f t="shared" si="82"/>
        <v>1122.9187713785707</v>
      </c>
      <c r="L128" s="715">
        <f t="shared" si="82"/>
        <v>1346.50200299673</v>
      </c>
      <c r="M128" s="726">
        <f t="shared" si="82"/>
        <v>1706.3701183990861</v>
      </c>
    </row>
    <row r="129" spans="1:13" hidden="1" x14ac:dyDescent="0.2">
      <c r="A129" s="713">
        <v>9.1999999999999993</v>
      </c>
      <c r="B129" s="704"/>
      <c r="C129" s="704"/>
      <c r="D129" s="704"/>
      <c r="E129" s="704"/>
      <c r="F129" s="704"/>
      <c r="G129" s="281">
        <f t="shared" ref="G129" si="83">(G137-G127)/10*2+G127</f>
        <v>796.8</v>
      </c>
      <c r="H129" s="704">
        <f t="shared" ref="H129:M129" si="84">(H137-H127)/10*2+H127</f>
        <v>939.6</v>
      </c>
      <c r="I129" s="704">
        <f t="shared" si="84"/>
        <v>914</v>
      </c>
      <c r="J129" s="715">
        <f t="shared" si="84"/>
        <v>1010.1202145977177</v>
      </c>
      <c r="K129" s="715">
        <f t="shared" si="84"/>
        <v>1125.2454757795615</v>
      </c>
      <c r="L129" s="715">
        <f t="shared" si="84"/>
        <v>1357.1783263828847</v>
      </c>
      <c r="M129" s="726">
        <f t="shared" si="84"/>
        <v>1711.5593185884438</v>
      </c>
    </row>
    <row r="130" spans="1:13" hidden="1" x14ac:dyDescent="0.2">
      <c r="A130" s="713">
        <v>9.3000000000000007</v>
      </c>
      <c r="B130" s="704"/>
      <c r="C130" s="704"/>
      <c r="D130" s="704"/>
      <c r="E130" s="704"/>
      <c r="F130" s="704"/>
      <c r="G130" s="281">
        <f t="shared" ref="G130" si="85">(G137-G127)/10*3+G127</f>
        <v>803.7</v>
      </c>
      <c r="H130" s="704">
        <f t="shared" ref="H130:M130" si="86">(H137-H127)/10*3+H127</f>
        <v>950.9</v>
      </c>
      <c r="I130" s="704">
        <f t="shared" si="86"/>
        <v>928.5</v>
      </c>
      <c r="J130" s="715">
        <f t="shared" si="86"/>
        <v>1012.3916685587144</v>
      </c>
      <c r="K130" s="715">
        <f t="shared" si="86"/>
        <v>1127.5721801805521</v>
      </c>
      <c r="L130" s="715">
        <f t="shared" si="86"/>
        <v>1367.8546497690395</v>
      </c>
      <c r="M130" s="726">
        <f t="shared" si="86"/>
        <v>1716.7485187778016</v>
      </c>
    </row>
    <row r="131" spans="1:13" hidden="1" x14ac:dyDescent="0.2">
      <c r="A131" s="713">
        <v>9.3999999999999897</v>
      </c>
      <c r="B131" s="704"/>
      <c r="C131" s="704"/>
      <c r="D131" s="704"/>
      <c r="E131" s="704"/>
      <c r="F131" s="704"/>
      <c r="G131" s="281">
        <f t="shared" ref="G131" si="87">(G137-G127)/10*4+G127</f>
        <v>810.6</v>
      </c>
      <c r="H131" s="704">
        <f t="shared" ref="H131:M131" si="88">(H137-H127)/10*4+H127</f>
        <v>962.2</v>
      </c>
      <c r="I131" s="704">
        <f t="shared" si="88"/>
        <v>943</v>
      </c>
      <c r="J131" s="715">
        <f t="shared" si="88"/>
        <v>1014.6631225197111</v>
      </c>
      <c r="K131" s="715">
        <f t="shared" si="88"/>
        <v>1129.8988845815429</v>
      </c>
      <c r="L131" s="715">
        <f t="shared" si="88"/>
        <v>1378.5309731551943</v>
      </c>
      <c r="M131" s="726">
        <f t="shared" si="88"/>
        <v>1721.9377189671593</v>
      </c>
    </row>
    <row r="132" spans="1:13" hidden="1" x14ac:dyDescent="0.2">
      <c r="A132" s="713">
        <v>9.4999999999999893</v>
      </c>
      <c r="B132" s="704"/>
      <c r="C132" s="704"/>
      <c r="D132" s="704"/>
      <c r="E132" s="704"/>
      <c r="F132" s="704"/>
      <c r="G132" s="281">
        <v>817</v>
      </c>
      <c r="H132" s="704">
        <f t="shared" ref="H132:M132" si="89">(H137-H127)/10*5+H127</f>
        <v>973.5</v>
      </c>
      <c r="I132" s="704">
        <f t="shared" si="89"/>
        <v>957.5</v>
      </c>
      <c r="J132" s="715">
        <f t="shared" si="89"/>
        <v>1016.9345764807078</v>
      </c>
      <c r="K132" s="715">
        <f t="shared" si="89"/>
        <v>1132.2255889825335</v>
      </c>
      <c r="L132" s="715">
        <f t="shared" si="89"/>
        <v>1389.207296541349</v>
      </c>
      <c r="M132" s="726">
        <f t="shared" si="89"/>
        <v>1727.126919156517</v>
      </c>
    </row>
    <row r="133" spans="1:13" hidden="1" x14ac:dyDescent="0.2">
      <c r="A133" s="713">
        <v>9.5999999999999908</v>
      </c>
      <c r="B133" s="704"/>
      <c r="C133" s="704"/>
      <c r="D133" s="704"/>
      <c r="E133" s="704"/>
      <c r="F133" s="704"/>
      <c r="G133" s="281">
        <f t="shared" ref="G133" si="90">(G137-G127)/10*6+G127</f>
        <v>824.4</v>
      </c>
      <c r="H133" s="704">
        <f t="shared" ref="H133:M133" si="91">(H137-H127)/10*6+H127</f>
        <v>984.8</v>
      </c>
      <c r="I133" s="704">
        <f t="shared" si="91"/>
        <v>972</v>
      </c>
      <c r="J133" s="715">
        <f t="shared" si="91"/>
        <v>1019.2060304417045</v>
      </c>
      <c r="K133" s="715">
        <f t="shared" si="91"/>
        <v>1134.5522933835241</v>
      </c>
      <c r="L133" s="715">
        <f t="shared" si="91"/>
        <v>1399.883619927504</v>
      </c>
      <c r="M133" s="726">
        <f t="shared" si="91"/>
        <v>1732.3161193458745</v>
      </c>
    </row>
    <row r="134" spans="1:13" hidden="1" x14ac:dyDescent="0.2">
      <c r="A134" s="713">
        <v>9.6999999999999904</v>
      </c>
      <c r="B134" s="704"/>
      <c r="C134" s="704"/>
      <c r="D134" s="704"/>
      <c r="E134" s="704"/>
      <c r="F134" s="704"/>
      <c r="G134" s="281">
        <f t="shared" ref="G134" si="92">(G137-G127)/10*7+G127</f>
        <v>831.3</v>
      </c>
      <c r="H134" s="704">
        <f t="shared" ref="H134:M134" si="93">(H137-H127)/10*7+H127</f>
        <v>996.1</v>
      </c>
      <c r="I134" s="704">
        <f t="shared" si="93"/>
        <v>986.5</v>
      </c>
      <c r="J134" s="715">
        <f t="shared" si="93"/>
        <v>1021.4774844027012</v>
      </c>
      <c r="K134" s="715">
        <f t="shared" si="93"/>
        <v>1136.8789977845149</v>
      </c>
      <c r="L134" s="715">
        <f t="shared" si="93"/>
        <v>1410.5599433136588</v>
      </c>
      <c r="M134" s="726">
        <f t="shared" si="93"/>
        <v>1737.5053195352323</v>
      </c>
    </row>
    <row r="135" spans="1:13" hidden="1" x14ac:dyDescent="0.2">
      <c r="A135" s="713">
        <v>9.7999999999999901</v>
      </c>
      <c r="B135" s="704"/>
      <c r="C135" s="704"/>
      <c r="D135" s="704"/>
      <c r="E135" s="704"/>
      <c r="F135" s="704"/>
      <c r="G135" s="281">
        <f t="shared" ref="G135" si="94">(G137-G127)/10*8+G127</f>
        <v>838.2</v>
      </c>
      <c r="H135" s="704">
        <f t="shared" ref="H135:M135" si="95">(H137-H127)/10*8+H127</f>
        <v>1007.4</v>
      </c>
      <c r="I135" s="704">
        <f t="shared" si="95"/>
        <v>1001</v>
      </c>
      <c r="J135" s="715">
        <f t="shared" si="95"/>
        <v>1023.7489383636979</v>
      </c>
      <c r="K135" s="715">
        <f t="shared" si="95"/>
        <v>1139.2057021855055</v>
      </c>
      <c r="L135" s="715">
        <f t="shared" si="95"/>
        <v>1421.2362666998135</v>
      </c>
      <c r="M135" s="726">
        <f t="shared" si="95"/>
        <v>1742.69451972459</v>
      </c>
    </row>
    <row r="136" spans="1:13" hidden="1" x14ac:dyDescent="0.2">
      <c r="A136" s="713">
        <v>9.8999999999999897</v>
      </c>
      <c r="B136" s="704"/>
      <c r="C136" s="704"/>
      <c r="D136" s="704"/>
      <c r="E136" s="704"/>
      <c r="F136" s="704"/>
      <c r="G136" s="281">
        <f t="shared" ref="G136" si="96">(G137-G127)/10*9+G127</f>
        <v>845.1</v>
      </c>
      <c r="H136" s="704">
        <f t="shared" ref="H136:M136" si="97">(H137-H127)/10*9+H127</f>
        <v>1018.7</v>
      </c>
      <c r="I136" s="704">
        <f t="shared" si="97"/>
        <v>1015.5</v>
      </c>
      <c r="J136" s="715">
        <f t="shared" si="97"/>
        <v>1026.0203923246945</v>
      </c>
      <c r="K136" s="715">
        <f t="shared" si="97"/>
        <v>1141.5324065864963</v>
      </c>
      <c r="L136" s="715">
        <f t="shared" si="97"/>
        <v>1431.9125900859683</v>
      </c>
      <c r="M136" s="726">
        <f t="shared" si="97"/>
        <v>1747.8837199139477</v>
      </c>
    </row>
    <row r="137" spans="1:13" hidden="1" x14ac:dyDescent="0.2">
      <c r="A137" s="713">
        <v>9.9999999999999893</v>
      </c>
      <c r="B137" s="704"/>
      <c r="C137" s="704"/>
      <c r="D137" s="704"/>
      <c r="E137" s="704"/>
      <c r="F137" s="704"/>
      <c r="G137" s="281">
        <v>852</v>
      </c>
      <c r="H137" s="706">
        <v>1030</v>
      </c>
      <c r="I137" s="704">
        <v>1030</v>
      </c>
      <c r="J137" s="715">
        <v>1028.2918462856912</v>
      </c>
      <c r="K137" s="715">
        <v>1143.8591109874869</v>
      </c>
      <c r="L137" s="715">
        <v>1442.5889134721231</v>
      </c>
      <c r="M137" s="726">
        <v>1753.0729201033055</v>
      </c>
    </row>
    <row r="138" spans="1:13" hidden="1" x14ac:dyDescent="0.2">
      <c r="A138" s="713">
        <v>10.1</v>
      </c>
      <c r="B138" s="704"/>
      <c r="C138" s="704"/>
      <c r="D138" s="704"/>
      <c r="E138" s="704"/>
      <c r="F138" s="704"/>
      <c r="G138" s="704"/>
      <c r="H138" s="704">
        <f t="shared" ref="H138:M138" si="98">(H147-H137)/10*1+H137</f>
        <v>1041</v>
      </c>
      <c r="I138" s="704">
        <f t="shared" si="98"/>
        <v>1043</v>
      </c>
      <c r="J138" s="715">
        <f t="shared" si="98"/>
        <v>1037.7459074407061</v>
      </c>
      <c r="K138" s="715">
        <f t="shared" si="98"/>
        <v>1146.9471460878717</v>
      </c>
      <c r="L138" s="715">
        <f t="shared" si="98"/>
        <v>1454.0801749164707</v>
      </c>
      <c r="M138" s="726">
        <f t="shared" si="98"/>
        <v>1756.6543426347123</v>
      </c>
    </row>
    <row r="139" spans="1:13" hidden="1" x14ac:dyDescent="0.2">
      <c r="A139" s="713">
        <v>10.199999999999999</v>
      </c>
      <c r="B139" s="704"/>
      <c r="C139" s="704"/>
      <c r="D139" s="704"/>
      <c r="E139" s="704"/>
      <c r="F139" s="704"/>
      <c r="G139" s="704"/>
      <c r="H139" s="704">
        <f t="shared" ref="H139:M139" si="99">(H147-H137)/10*2+H137</f>
        <v>1052</v>
      </c>
      <c r="I139" s="704">
        <f t="shared" si="99"/>
        <v>1056</v>
      </c>
      <c r="J139" s="715">
        <f t="shared" si="99"/>
        <v>1047.199968595721</v>
      </c>
      <c r="K139" s="715">
        <f t="shared" si="99"/>
        <v>1150.0351811882567</v>
      </c>
      <c r="L139" s="715">
        <f t="shared" si="99"/>
        <v>1465.5714363608186</v>
      </c>
      <c r="M139" s="726">
        <f t="shared" si="99"/>
        <v>1760.2357651661191</v>
      </c>
    </row>
    <row r="140" spans="1:13" hidden="1" x14ac:dyDescent="0.2">
      <c r="A140" s="713">
        <v>10.3</v>
      </c>
      <c r="B140" s="704"/>
      <c r="C140" s="704"/>
      <c r="D140" s="704"/>
      <c r="E140" s="704"/>
      <c r="F140" s="704"/>
      <c r="G140" s="704"/>
      <c r="H140" s="704">
        <f t="shared" ref="H140:M140" si="100">(H147-H137)/10*3+H137</f>
        <v>1063</v>
      </c>
      <c r="I140" s="704">
        <f t="shared" si="100"/>
        <v>1069</v>
      </c>
      <c r="J140" s="715">
        <f t="shared" si="100"/>
        <v>1056.6540297507361</v>
      </c>
      <c r="K140" s="715">
        <f t="shared" si="100"/>
        <v>1153.1232162886417</v>
      </c>
      <c r="L140" s="715">
        <f t="shared" si="100"/>
        <v>1477.0626978051662</v>
      </c>
      <c r="M140" s="726">
        <f t="shared" si="100"/>
        <v>1763.8171876975259</v>
      </c>
    </row>
    <row r="141" spans="1:13" hidden="1" x14ac:dyDescent="0.2">
      <c r="A141" s="713">
        <v>10.4</v>
      </c>
      <c r="B141" s="704"/>
      <c r="C141" s="704"/>
      <c r="D141" s="704"/>
      <c r="E141" s="704"/>
      <c r="F141" s="704"/>
      <c r="G141" s="704"/>
      <c r="H141" s="704">
        <f t="shared" ref="H141:M141" si="101">(H147-H137)/10*4+H137</f>
        <v>1074</v>
      </c>
      <c r="I141" s="704">
        <f t="shared" si="101"/>
        <v>1082</v>
      </c>
      <c r="J141" s="715">
        <f t="shared" si="101"/>
        <v>1066.1080909057509</v>
      </c>
      <c r="K141" s="715">
        <f t="shared" si="101"/>
        <v>1156.2112513890265</v>
      </c>
      <c r="L141" s="715">
        <f t="shared" si="101"/>
        <v>1488.553959249514</v>
      </c>
      <c r="M141" s="726">
        <f t="shared" si="101"/>
        <v>1767.3986102289327</v>
      </c>
    </row>
    <row r="142" spans="1:13" hidden="1" x14ac:dyDescent="0.2">
      <c r="A142" s="713">
        <v>10.5</v>
      </c>
      <c r="B142" s="704"/>
      <c r="C142" s="704"/>
      <c r="D142" s="704"/>
      <c r="E142" s="704"/>
      <c r="F142" s="704"/>
      <c r="G142" s="704"/>
      <c r="H142" s="704">
        <f t="shared" ref="H142:M142" si="102">(H147-H137)/10*5+H137</f>
        <v>1085</v>
      </c>
      <c r="I142" s="704">
        <f t="shared" si="102"/>
        <v>1095</v>
      </c>
      <c r="J142" s="715">
        <f t="shared" si="102"/>
        <v>1075.5621520607658</v>
      </c>
      <c r="K142" s="715">
        <f t="shared" si="102"/>
        <v>1159.2992864894113</v>
      </c>
      <c r="L142" s="715">
        <f t="shared" si="102"/>
        <v>1500.0452206938617</v>
      </c>
      <c r="M142" s="726">
        <f t="shared" si="102"/>
        <v>1770.9800327603398</v>
      </c>
    </row>
    <row r="143" spans="1:13" hidden="1" x14ac:dyDescent="0.2">
      <c r="A143" s="713">
        <v>10.6</v>
      </c>
      <c r="B143" s="704"/>
      <c r="C143" s="704"/>
      <c r="D143" s="704"/>
      <c r="E143" s="704"/>
      <c r="F143" s="704"/>
      <c r="G143" s="704"/>
      <c r="H143" s="704">
        <f t="shared" ref="H143:M143" si="103">(H147-H137)/10*6+H137</f>
        <v>1096</v>
      </c>
      <c r="I143" s="704">
        <f t="shared" si="103"/>
        <v>1108</v>
      </c>
      <c r="J143" s="715">
        <f t="shared" si="103"/>
        <v>1085.0162132157807</v>
      </c>
      <c r="K143" s="715">
        <f t="shared" si="103"/>
        <v>1162.3873215897963</v>
      </c>
      <c r="L143" s="715">
        <f t="shared" si="103"/>
        <v>1511.5364821382093</v>
      </c>
      <c r="M143" s="726">
        <f t="shared" si="103"/>
        <v>1774.5614552917466</v>
      </c>
    </row>
    <row r="144" spans="1:13" hidden="1" x14ac:dyDescent="0.2">
      <c r="A144" s="713">
        <v>10.7</v>
      </c>
      <c r="B144" s="704"/>
      <c r="C144" s="704"/>
      <c r="D144" s="704"/>
      <c r="E144" s="704"/>
      <c r="F144" s="704"/>
      <c r="G144" s="704"/>
      <c r="H144" s="704">
        <f t="shared" ref="H144:M144" si="104">(H147-H137)/10*7+H137</f>
        <v>1107</v>
      </c>
      <c r="I144" s="704">
        <f t="shared" si="104"/>
        <v>1121</v>
      </c>
      <c r="J144" s="715">
        <f t="shared" si="104"/>
        <v>1094.4702743707956</v>
      </c>
      <c r="K144" s="715">
        <f t="shared" si="104"/>
        <v>1165.4753566901813</v>
      </c>
      <c r="L144" s="715">
        <f t="shared" si="104"/>
        <v>1523.0277435825572</v>
      </c>
      <c r="M144" s="726">
        <f t="shared" si="104"/>
        <v>1778.1428778231534</v>
      </c>
    </row>
    <row r="145" spans="1:13" hidden="1" x14ac:dyDescent="0.2">
      <c r="A145" s="713">
        <v>10.8</v>
      </c>
      <c r="B145" s="704"/>
      <c r="C145" s="704"/>
      <c r="D145" s="704"/>
      <c r="E145" s="704"/>
      <c r="F145" s="704"/>
      <c r="G145" s="704"/>
      <c r="H145" s="704">
        <f t="shared" ref="H145:M145" si="105">(H147-H137)/10*8+H137</f>
        <v>1118</v>
      </c>
      <c r="I145" s="704">
        <f t="shared" si="105"/>
        <v>1134</v>
      </c>
      <c r="J145" s="715">
        <f t="shared" si="105"/>
        <v>1103.9243355258106</v>
      </c>
      <c r="K145" s="715">
        <f t="shared" si="105"/>
        <v>1168.5633917905661</v>
      </c>
      <c r="L145" s="715">
        <f t="shared" si="105"/>
        <v>1534.5190050269048</v>
      </c>
      <c r="M145" s="726">
        <f t="shared" si="105"/>
        <v>1781.7243003545602</v>
      </c>
    </row>
    <row r="146" spans="1:13" hidden="1" x14ac:dyDescent="0.2">
      <c r="A146" s="713">
        <v>10.9</v>
      </c>
      <c r="B146" s="704"/>
      <c r="C146" s="704"/>
      <c r="D146" s="704"/>
      <c r="E146" s="704"/>
      <c r="F146" s="704"/>
      <c r="G146" s="704"/>
      <c r="H146" s="704">
        <f t="shared" ref="H146:M146" si="106">(H147-H137)/10*9+H137</f>
        <v>1129</v>
      </c>
      <c r="I146" s="704">
        <f t="shared" si="106"/>
        <v>1147</v>
      </c>
      <c r="J146" s="715">
        <f t="shared" si="106"/>
        <v>1113.3783966808255</v>
      </c>
      <c r="K146" s="715">
        <f t="shared" si="106"/>
        <v>1171.6514268909509</v>
      </c>
      <c r="L146" s="715">
        <f t="shared" si="106"/>
        <v>1546.0102664712526</v>
      </c>
      <c r="M146" s="726">
        <f t="shared" si="106"/>
        <v>1785.305722885967</v>
      </c>
    </row>
    <row r="147" spans="1:13" hidden="1" x14ac:dyDescent="0.2">
      <c r="A147" s="713">
        <v>11</v>
      </c>
      <c r="B147" s="704"/>
      <c r="C147" s="704"/>
      <c r="D147" s="704"/>
      <c r="E147" s="704"/>
      <c r="F147" s="704"/>
      <c r="G147" s="704"/>
      <c r="H147" s="706">
        <v>1140</v>
      </c>
      <c r="I147" s="704">
        <v>1160</v>
      </c>
      <c r="J147" s="715">
        <v>1122.8324578358404</v>
      </c>
      <c r="K147" s="715">
        <v>1174.7394619913359</v>
      </c>
      <c r="L147" s="715">
        <v>1557.5015279156003</v>
      </c>
      <c r="M147" s="726">
        <v>1788.8871454173739</v>
      </c>
    </row>
    <row r="148" spans="1:13" hidden="1" x14ac:dyDescent="0.2">
      <c r="A148" s="713">
        <v>11.1</v>
      </c>
      <c r="B148" s="704"/>
      <c r="C148" s="704"/>
      <c r="D148" s="704"/>
      <c r="E148" s="704"/>
      <c r="F148" s="704"/>
      <c r="G148" s="704"/>
      <c r="H148" s="704">
        <f t="shared" ref="H148:M148" si="107">(H157-H147)/10*1+H147</f>
        <v>1150</v>
      </c>
      <c r="I148" s="704">
        <f t="shared" si="107"/>
        <v>1173</v>
      </c>
      <c r="J148" s="715">
        <f t="shared" si="107"/>
        <v>1136.1468660206056</v>
      </c>
      <c r="K148" s="715">
        <f t="shared" si="107"/>
        <v>1184.2658087100135</v>
      </c>
      <c r="L148" s="715">
        <f t="shared" si="107"/>
        <v>1559.644140778538</v>
      </c>
      <c r="M148" s="726">
        <f t="shared" si="107"/>
        <v>1802.1740904867168</v>
      </c>
    </row>
    <row r="149" spans="1:13" hidden="1" x14ac:dyDescent="0.2">
      <c r="A149" s="713">
        <v>11.2</v>
      </c>
      <c r="B149" s="704"/>
      <c r="C149" s="704"/>
      <c r="D149" s="704"/>
      <c r="E149" s="704"/>
      <c r="F149" s="704"/>
      <c r="G149" s="704"/>
      <c r="H149" s="704">
        <f t="shared" ref="H149:M149" si="108">(H157-H147)/10*2+H147</f>
        <v>1160</v>
      </c>
      <c r="I149" s="704">
        <f t="shared" si="108"/>
        <v>1186</v>
      </c>
      <c r="J149" s="715">
        <f t="shared" si="108"/>
        <v>1149.461274205371</v>
      </c>
      <c r="K149" s="715">
        <f t="shared" si="108"/>
        <v>1193.7921554286913</v>
      </c>
      <c r="L149" s="715">
        <f t="shared" si="108"/>
        <v>1561.7867536414756</v>
      </c>
      <c r="M149" s="726">
        <f t="shared" si="108"/>
        <v>1815.4610355560599</v>
      </c>
    </row>
    <row r="150" spans="1:13" hidden="1" x14ac:dyDescent="0.2">
      <c r="A150" s="713">
        <v>11.3</v>
      </c>
      <c r="B150" s="704"/>
      <c r="C150" s="704"/>
      <c r="D150" s="704"/>
      <c r="E150" s="704"/>
      <c r="F150" s="704"/>
      <c r="G150" s="704"/>
      <c r="H150" s="704">
        <f t="shared" ref="H150:M150" si="109">(H157-H147)/10*3+H147</f>
        <v>1170</v>
      </c>
      <c r="I150" s="704">
        <f t="shared" si="109"/>
        <v>1199</v>
      </c>
      <c r="J150" s="715">
        <f t="shared" si="109"/>
        <v>1162.7756823901364</v>
      </c>
      <c r="K150" s="715">
        <f t="shared" si="109"/>
        <v>1203.3185021473691</v>
      </c>
      <c r="L150" s="715">
        <f t="shared" si="109"/>
        <v>1563.9293665044133</v>
      </c>
      <c r="M150" s="726">
        <f t="shared" si="109"/>
        <v>1828.7479806254028</v>
      </c>
    </row>
    <row r="151" spans="1:13" hidden="1" x14ac:dyDescent="0.2">
      <c r="A151" s="713">
        <v>11.4</v>
      </c>
      <c r="B151" s="704"/>
      <c r="C151" s="704"/>
      <c r="D151" s="704"/>
      <c r="E151" s="704"/>
      <c r="F151" s="704"/>
      <c r="G151" s="704"/>
      <c r="H151" s="704">
        <f t="shared" ref="H151:M151" si="110">(H157-H147)/10*4+H147</f>
        <v>1180</v>
      </c>
      <c r="I151" s="704">
        <f t="shared" si="110"/>
        <v>1212</v>
      </c>
      <c r="J151" s="715">
        <f t="shared" si="110"/>
        <v>1176.0900905749015</v>
      </c>
      <c r="K151" s="715">
        <f t="shared" si="110"/>
        <v>1212.8448488660467</v>
      </c>
      <c r="L151" s="715">
        <f t="shared" si="110"/>
        <v>1566.0719793673509</v>
      </c>
      <c r="M151" s="726">
        <f t="shared" si="110"/>
        <v>1842.0349256947459</v>
      </c>
    </row>
    <row r="152" spans="1:13" hidden="1" x14ac:dyDescent="0.2">
      <c r="A152" s="713">
        <v>11.5</v>
      </c>
      <c r="B152" s="704"/>
      <c r="C152" s="704"/>
      <c r="D152" s="704"/>
      <c r="E152" s="704"/>
      <c r="F152" s="704"/>
      <c r="G152" s="704"/>
      <c r="H152" s="704">
        <f t="shared" ref="H152:M152" si="111">(H157-H147)/10*5+H147</f>
        <v>1190</v>
      </c>
      <c r="I152" s="704">
        <f t="shared" si="111"/>
        <v>1225</v>
      </c>
      <c r="J152" s="715">
        <f t="shared" si="111"/>
        <v>1189.4044987596667</v>
      </c>
      <c r="K152" s="715">
        <f t="shared" si="111"/>
        <v>1222.3711955847243</v>
      </c>
      <c r="L152" s="715">
        <f t="shared" si="111"/>
        <v>1568.2145922302886</v>
      </c>
      <c r="M152" s="726">
        <f t="shared" si="111"/>
        <v>1855.3218707640888</v>
      </c>
    </row>
    <row r="153" spans="1:13" hidden="1" x14ac:dyDescent="0.2">
      <c r="A153" s="713">
        <v>11.6</v>
      </c>
      <c r="B153" s="704"/>
      <c r="C153" s="704"/>
      <c r="D153" s="704"/>
      <c r="E153" s="704"/>
      <c r="F153" s="704"/>
      <c r="G153" s="704"/>
      <c r="H153" s="704">
        <f t="shared" ref="H153:M153" si="112">(H157-H147)/10*6+H147</f>
        <v>1200</v>
      </c>
      <c r="I153" s="704">
        <f t="shared" si="112"/>
        <v>1238</v>
      </c>
      <c r="J153" s="715">
        <f t="shared" si="112"/>
        <v>1202.7189069444321</v>
      </c>
      <c r="K153" s="715">
        <f t="shared" si="112"/>
        <v>1231.8975423034021</v>
      </c>
      <c r="L153" s="715">
        <f t="shared" si="112"/>
        <v>1570.3572050932264</v>
      </c>
      <c r="M153" s="726">
        <f t="shared" si="112"/>
        <v>1868.6088158334317</v>
      </c>
    </row>
    <row r="154" spans="1:13" hidden="1" x14ac:dyDescent="0.2">
      <c r="A154" s="713">
        <v>11.7</v>
      </c>
      <c r="B154" s="704"/>
      <c r="C154" s="704"/>
      <c r="D154" s="704"/>
      <c r="E154" s="704"/>
      <c r="F154" s="704"/>
      <c r="G154" s="704"/>
      <c r="H154" s="704">
        <f t="shared" ref="H154:M154" si="113">(H157-H147)/10*7+H147</f>
        <v>1210</v>
      </c>
      <c r="I154" s="704">
        <f t="shared" si="113"/>
        <v>1251</v>
      </c>
      <c r="J154" s="715">
        <f t="shared" si="113"/>
        <v>1216.0333151291975</v>
      </c>
      <c r="K154" s="715">
        <f t="shared" si="113"/>
        <v>1241.4238890220799</v>
      </c>
      <c r="L154" s="715">
        <f t="shared" si="113"/>
        <v>1572.499817956164</v>
      </c>
      <c r="M154" s="726">
        <f t="shared" si="113"/>
        <v>1881.8957609027748</v>
      </c>
    </row>
    <row r="155" spans="1:13" hidden="1" x14ac:dyDescent="0.2">
      <c r="A155" s="713">
        <v>11.8</v>
      </c>
      <c r="B155" s="704"/>
      <c r="C155" s="704"/>
      <c r="D155" s="704"/>
      <c r="E155" s="704"/>
      <c r="F155" s="704"/>
      <c r="G155" s="704"/>
      <c r="H155" s="704">
        <f t="shared" ref="H155:M155" si="114">(H157-H147)/10*8+H147</f>
        <v>1220</v>
      </c>
      <c r="I155" s="704">
        <f t="shared" si="114"/>
        <v>1264</v>
      </c>
      <c r="J155" s="715">
        <f t="shared" si="114"/>
        <v>1229.3477233139627</v>
      </c>
      <c r="K155" s="715">
        <f t="shared" si="114"/>
        <v>1250.9502357407575</v>
      </c>
      <c r="L155" s="715">
        <f t="shared" si="114"/>
        <v>1574.6424308191017</v>
      </c>
      <c r="M155" s="726">
        <f t="shared" si="114"/>
        <v>1895.1827059721177</v>
      </c>
    </row>
    <row r="156" spans="1:13" hidden="1" x14ac:dyDescent="0.2">
      <c r="A156" s="713">
        <v>11.9</v>
      </c>
      <c r="B156" s="704"/>
      <c r="C156" s="704"/>
      <c r="D156" s="704"/>
      <c r="E156" s="704"/>
      <c r="F156" s="704"/>
      <c r="G156" s="704"/>
      <c r="H156" s="704">
        <f t="shared" ref="H156:M156" si="115">(H157-H147)/10*9+H147</f>
        <v>1230</v>
      </c>
      <c r="I156" s="704">
        <f t="shared" si="115"/>
        <v>1277</v>
      </c>
      <c r="J156" s="715">
        <f t="shared" si="115"/>
        <v>1242.6621314987278</v>
      </c>
      <c r="K156" s="715">
        <f t="shared" si="115"/>
        <v>1260.4765824594351</v>
      </c>
      <c r="L156" s="715">
        <f t="shared" si="115"/>
        <v>1576.7850436820393</v>
      </c>
      <c r="M156" s="726">
        <f t="shared" si="115"/>
        <v>1908.4696510414608</v>
      </c>
    </row>
    <row r="157" spans="1:13" hidden="1" x14ac:dyDescent="0.2">
      <c r="A157" s="713">
        <v>12</v>
      </c>
      <c r="B157" s="704"/>
      <c r="C157" s="704"/>
      <c r="D157" s="704"/>
      <c r="E157" s="704"/>
      <c r="F157" s="704"/>
      <c r="G157" s="704"/>
      <c r="H157" s="706">
        <v>1240</v>
      </c>
      <c r="I157" s="704">
        <v>1290</v>
      </c>
      <c r="J157" s="715">
        <v>1255.9765396834932</v>
      </c>
      <c r="K157" s="715">
        <v>1270.0029291781129</v>
      </c>
      <c r="L157" s="715">
        <v>1578.927656544977</v>
      </c>
      <c r="M157" s="726">
        <v>1921.7565961108037</v>
      </c>
    </row>
    <row r="158" spans="1:13" hidden="1" x14ac:dyDescent="0.2">
      <c r="A158" s="713">
        <v>12.1</v>
      </c>
      <c r="B158" s="704"/>
      <c r="C158" s="704"/>
      <c r="D158" s="704"/>
      <c r="E158" s="704"/>
      <c r="F158" s="704"/>
      <c r="G158" s="704"/>
      <c r="H158" s="704"/>
      <c r="I158" s="704">
        <f>(I167-I157)/10*1+I157</f>
        <v>1303</v>
      </c>
      <c r="J158" s="715">
        <f>(J167-J157)/10*1+J157</f>
        <v>1267.2720953426769</v>
      </c>
      <c r="K158" s="715">
        <f>(K167-K157)/10*1+K157</f>
        <v>1283.248147564067</v>
      </c>
      <c r="L158" s="715">
        <f>(L167-L157)/10*1+L157</f>
        <v>1580.2658450792296</v>
      </c>
      <c r="M158" s="726">
        <f>(M167-M157)/10*1+M157</f>
        <v>1941.1449195146211</v>
      </c>
    </row>
    <row r="159" spans="1:13" hidden="1" x14ac:dyDescent="0.2">
      <c r="A159" s="713">
        <v>12.2</v>
      </c>
      <c r="B159" s="704"/>
      <c r="C159" s="704"/>
      <c r="D159" s="704"/>
      <c r="E159" s="704"/>
      <c r="F159" s="704"/>
      <c r="G159" s="704"/>
      <c r="H159" s="704"/>
      <c r="I159" s="704">
        <f>(I167-I157)/10*2+I157</f>
        <v>1316</v>
      </c>
      <c r="J159" s="715">
        <f>(J167-J157)/10*2+J157</f>
        <v>1278.5676510018607</v>
      </c>
      <c r="K159" s="715">
        <f>(K167-K157)/10*2+K157</f>
        <v>1296.4933659500209</v>
      </c>
      <c r="L159" s="715">
        <f>(L167-L157)/10*2+L157</f>
        <v>1581.6040336134822</v>
      </c>
      <c r="M159" s="726">
        <f>(M167-M157)/10*2+M157</f>
        <v>1960.5332429184382</v>
      </c>
    </row>
    <row r="160" spans="1:13" hidden="1" x14ac:dyDescent="0.2">
      <c r="A160" s="713">
        <v>12.3</v>
      </c>
      <c r="B160" s="704"/>
      <c r="C160" s="704"/>
      <c r="D160" s="704"/>
      <c r="E160" s="704"/>
      <c r="F160" s="704"/>
      <c r="G160" s="704"/>
      <c r="H160" s="704"/>
      <c r="I160" s="704">
        <f>(I167-I157)/10*3+I157</f>
        <v>1329</v>
      </c>
      <c r="J160" s="715">
        <f>(J167-J157)/10*3+J157</f>
        <v>1289.8632066610442</v>
      </c>
      <c r="K160" s="715">
        <f>(K167-K157)/10*3+K157</f>
        <v>1309.738584335975</v>
      </c>
      <c r="L160" s="715">
        <f>(L167-L157)/10*3+L157</f>
        <v>1582.9422221477348</v>
      </c>
      <c r="M160" s="726">
        <f>(M167-M157)/10*3+M157</f>
        <v>1979.9215663222553</v>
      </c>
    </row>
    <row r="161" spans="1:13" hidden="1" x14ac:dyDescent="0.2">
      <c r="A161" s="713">
        <v>12.4</v>
      </c>
      <c r="B161" s="704"/>
      <c r="C161" s="704"/>
      <c r="D161" s="704"/>
      <c r="E161" s="704"/>
      <c r="F161" s="704"/>
      <c r="G161" s="704"/>
      <c r="H161" s="704"/>
      <c r="I161" s="704">
        <f>(I167-I157)/10*4+I157</f>
        <v>1342</v>
      </c>
      <c r="J161" s="715">
        <f>(J167-J157)/10*4+J157</f>
        <v>1301.1587623202279</v>
      </c>
      <c r="K161" s="715">
        <f>(K167-K157)/10*4+K157</f>
        <v>1322.9838027219289</v>
      </c>
      <c r="L161" s="715">
        <f>(L167-L157)/10*4+L157</f>
        <v>1584.2804106819874</v>
      </c>
      <c r="M161" s="726">
        <f>(M167-M157)/10*4+M157</f>
        <v>1999.3098897260727</v>
      </c>
    </row>
    <row r="162" spans="1:13" hidden="1" x14ac:dyDescent="0.2">
      <c r="A162" s="713">
        <v>12.5</v>
      </c>
      <c r="B162" s="704"/>
      <c r="C162" s="704"/>
      <c r="D162" s="704"/>
      <c r="E162" s="704"/>
      <c r="F162" s="704"/>
      <c r="G162" s="704"/>
      <c r="H162" s="704"/>
      <c r="I162" s="704">
        <f>(I167-I157)/10*5+I157</f>
        <v>1355</v>
      </c>
      <c r="J162" s="715">
        <f>(J167-J157)/10*5+J157</f>
        <v>1312.4543179794116</v>
      </c>
      <c r="K162" s="715">
        <f>(K167-K157)/10*5+K157</f>
        <v>1336.229021107883</v>
      </c>
      <c r="L162" s="715">
        <f>(L167-L157)/10*5+L157</f>
        <v>1585.61859921624</v>
      </c>
      <c r="M162" s="726">
        <f>(M167-M157)/10*5+M157</f>
        <v>2018.6982131298901</v>
      </c>
    </row>
    <row r="163" spans="1:13" hidden="1" x14ac:dyDescent="0.2">
      <c r="A163" s="713">
        <v>12.6</v>
      </c>
      <c r="B163" s="704"/>
      <c r="C163" s="704"/>
      <c r="D163" s="704"/>
      <c r="E163" s="704"/>
      <c r="F163" s="704"/>
      <c r="G163" s="704"/>
      <c r="H163" s="704"/>
      <c r="I163" s="704">
        <f>(I167-I157)/10*6+I157</f>
        <v>1368</v>
      </c>
      <c r="J163" s="715">
        <f>(J167-J157)/10*6+J157</f>
        <v>1323.7498736385953</v>
      </c>
      <c r="K163" s="715">
        <f>(K167-K157)/10*6+K157</f>
        <v>1349.4742394938371</v>
      </c>
      <c r="L163" s="715">
        <f>(L167-L157)/10*6+L157</f>
        <v>1586.9567877504924</v>
      </c>
      <c r="M163" s="726">
        <f>(M167-M157)/10*6+M157</f>
        <v>2038.0865365337072</v>
      </c>
    </row>
    <row r="164" spans="1:13" hidden="1" x14ac:dyDescent="0.2">
      <c r="A164" s="713">
        <v>12.7</v>
      </c>
      <c r="B164" s="704"/>
      <c r="C164" s="704"/>
      <c r="D164" s="704"/>
      <c r="E164" s="704"/>
      <c r="F164" s="704"/>
      <c r="G164" s="704"/>
      <c r="H164" s="704"/>
      <c r="I164" s="704">
        <f>(I167-I157)/10*7+I157</f>
        <v>1381</v>
      </c>
      <c r="J164" s="715">
        <f>(J167-J157)/10*7+J157</f>
        <v>1335.045429297779</v>
      </c>
      <c r="K164" s="715">
        <f>(K167-K157)/10*7+K157</f>
        <v>1362.719457879791</v>
      </c>
      <c r="L164" s="715">
        <f>(L167-L157)/10*7+L157</f>
        <v>1588.294976284745</v>
      </c>
      <c r="M164" s="726">
        <f>(M167-M157)/10*7+M157</f>
        <v>2057.4748599375243</v>
      </c>
    </row>
    <row r="165" spans="1:13" hidden="1" x14ac:dyDescent="0.2">
      <c r="A165" s="713">
        <v>12.8</v>
      </c>
      <c r="B165" s="704"/>
      <c r="C165" s="704"/>
      <c r="D165" s="704"/>
      <c r="E165" s="704"/>
      <c r="F165" s="704"/>
      <c r="G165" s="704"/>
      <c r="H165" s="704"/>
      <c r="I165" s="704">
        <f>(I167-I157)/10*8+I157</f>
        <v>1394</v>
      </c>
      <c r="J165" s="715">
        <f>(J167-J157)/10*8+J157</f>
        <v>1346.3409849569625</v>
      </c>
      <c r="K165" s="715">
        <f>(K167-K157)/10*8+K157</f>
        <v>1375.9646762657451</v>
      </c>
      <c r="L165" s="715">
        <f>(L167-L157)/10*8+L157</f>
        <v>1589.6331648189976</v>
      </c>
      <c r="M165" s="726">
        <f>(M167-M157)/10*8+M157</f>
        <v>2076.8631833413419</v>
      </c>
    </row>
    <row r="166" spans="1:13" hidden="1" x14ac:dyDescent="0.2">
      <c r="A166" s="713">
        <v>12.9</v>
      </c>
      <c r="B166" s="704"/>
      <c r="C166" s="704"/>
      <c r="D166" s="704"/>
      <c r="E166" s="704"/>
      <c r="F166" s="704"/>
      <c r="G166" s="704"/>
      <c r="H166" s="704"/>
      <c r="I166" s="704">
        <f>(I167-I157)/10*9+I157</f>
        <v>1407</v>
      </c>
      <c r="J166" s="715">
        <f>(J167-J157)/10*9+J157</f>
        <v>1357.6365406161462</v>
      </c>
      <c r="K166" s="715">
        <f>(K167-K157)/10*9+K157</f>
        <v>1389.209894651699</v>
      </c>
      <c r="L166" s="715">
        <f>(L167-L157)/10*9+L157</f>
        <v>1590.9713533532502</v>
      </c>
      <c r="M166" s="726">
        <f>(M167-M157)/10*9+M157</f>
        <v>2096.2515067451591</v>
      </c>
    </row>
    <row r="167" spans="1:13" hidden="1" x14ac:dyDescent="0.2">
      <c r="A167" s="713">
        <v>13</v>
      </c>
      <c r="B167" s="704"/>
      <c r="C167" s="704"/>
      <c r="D167" s="704"/>
      <c r="E167" s="704"/>
      <c r="F167" s="704"/>
      <c r="G167" s="704"/>
      <c r="H167" s="706"/>
      <c r="I167" s="704">
        <v>1420</v>
      </c>
      <c r="J167" s="715">
        <v>1368.93209627533</v>
      </c>
      <c r="K167" s="715">
        <v>1402.4551130376531</v>
      </c>
      <c r="L167" s="715">
        <v>1592.3095418875027</v>
      </c>
      <c r="M167" s="726">
        <v>2115.6398301489762</v>
      </c>
    </row>
    <row r="168" spans="1:13" hidden="1" x14ac:dyDescent="0.2">
      <c r="A168" s="713">
        <v>13.1</v>
      </c>
      <c r="B168" s="714"/>
      <c r="C168" s="714"/>
      <c r="D168" s="714"/>
      <c r="E168" s="714"/>
      <c r="F168" s="714"/>
      <c r="G168" s="714"/>
      <c r="H168" s="715"/>
      <c r="I168" s="715"/>
      <c r="J168" s="715">
        <f>(J177-J167)/10*1+J167</f>
        <v>1376.8469893384963</v>
      </c>
      <c r="K168" s="715">
        <f>(K177-K167)/10*1+K167</f>
        <v>1415.4352129419849</v>
      </c>
      <c r="L168" s="715">
        <f>(L177-L167)/10*1+L167</f>
        <v>1606.5187414031122</v>
      </c>
      <c r="M168" s="726">
        <f>(M177-M167)/10*1+M167</f>
        <v>2134.6827690616283</v>
      </c>
    </row>
    <row r="169" spans="1:13" hidden="1" x14ac:dyDescent="0.2">
      <c r="A169" s="713">
        <v>13.2</v>
      </c>
      <c r="B169" s="714"/>
      <c r="C169" s="714"/>
      <c r="D169" s="714"/>
      <c r="E169" s="714"/>
      <c r="F169" s="714"/>
      <c r="G169" s="714"/>
      <c r="H169" s="715"/>
      <c r="I169" s="715"/>
      <c r="J169" s="715">
        <f>(J177-J167)/10*2+J167</f>
        <v>1384.7618824016624</v>
      </c>
      <c r="K169" s="715">
        <f>(K177-K167)/10*2+K167</f>
        <v>1428.415312846317</v>
      </c>
      <c r="L169" s="715">
        <f>(L177-L167)/10*2+L167</f>
        <v>1620.7279409187215</v>
      </c>
      <c r="M169" s="726">
        <f>(M177-M167)/10*2+M167</f>
        <v>2153.7257079742808</v>
      </c>
    </row>
    <row r="170" spans="1:13" hidden="1" x14ac:dyDescent="0.2">
      <c r="A170" s="713">
        <v>13.3</v>
      </c>
      <c r="B170" s="714"/>
      <c r="C170" s="714"/>
      <c r="D170" s="714"/>
      <c r="E170" s="714"/>
      <c r="F170" s="714"/>
      <c r="G170" s="714"/>
      <c r="H170" s="715"/>
      <c r="I170" s="715"/>
      <c r="J170" s="715">
        <f>(J177-J167)/10*3+J167</f>
        <v>1392.6767754648288</v>
      </c>
      <c r="K170" s="715">
        <f>(K177-K167)/10*3+K167</f>
        <v>1441.3954127506488</v>
      </c>
      <c r="L170" s="715">
        <f>(L177-L167)/10*3+L167</f>
        <v>1634.937140434331</v>
      </c>
      <c r="M170" s="726">
        <f>(M177-M167)/10*3+M167</f>
        <v>2172.7686468869329</v>
      </c>
    </row>
    <row r="171" spans="1:13" hidden="1" x14ac:dyDescent="0.2">
      <c r="A171" s="713">
        <v>13.4</v>
      </c>
      <c r="B171" s="714"/>
      <c r="C171" s="714"/>
      <c r="D171" s="714"/>
      <c r="E171" s="714"/>
      <c r="F171" s="714"/>
      <c r="G171" s="714"/>
      <c r="H171" s="715"/>
      <c r="I171" s="715"/>
      <c r="J171" s="715">
        <f>(J177-J167)/10*4+J167</f>
        <v>1400.5916685279949</v>
      </c>
      <c r="K171" s="715">
        <f>(K177-K167)/10*4+K167</f>
        <v>1454.3755126549806</v>
      </c>
      <c r="L171" s="715">
        <f>(L177-L167)/10*4+L167</f>
        <v>1649.1463399499403</v>
      </c>
      <c r="M171" s="726">
        <f>(M177-M167)/10*4+M167</f>
        <v>2191.8115857995849</v>
      </c>
    </row>
    <row r="172" spans="1:13" hidden="1" x14ac:dyDescent="0.2">
      <c r="A172" s="713">
        <v>13.5</v>
      </c>
      <c r="B172" s="714"/>
      <c r="C172" s="714"/>
      <c r="D172" s="714"/>
      <c r="E172" s="714"/>
      <c r="F172" s="714"/>
      <c r="G172" s="714"/>
      <c r="H172" s="715"/>
      <c r="I172" s="715"/>
      <c r="J172" s="715">
        <f>(J177-J167)/10*5+J167</f>
        <v>1408.5065615911612</v>
      </c>
      <c r="K172" s="715">
        <f>(K177-K167)/10*5+K167</f>
        <v>1467.3556125593127</v>
      </c>
      <c r="L172" s="715">
        <f>(L177-L167)/10*5+L167</f>
        <v>1663.3555394655498</v>
      </c>
      <c r="M172" s="726">
        <f>(M177-M167)/10*5+M167</f>
        <v>2210.8545247122374</v>
      </c>
    </row>
    <row r="173" spans="1:13" hidden="1" x14ac:dyDescent="0.2">
      <c r="A173" s="713">
        <v>13.6</v>
      </c>
      <c r="B173" s="714"/>
      <c r="C173" s="714"/>
      <c r="D173" s="714"/>
      <c r="E173" s="714"/>
      <c r="F173" s="714"/>
      <c r="G173" s="714"/>
      <c r="H173" s="715"/>
      <c r="I173" s="715"/>
      <c r="J173" s="715">
        <f>(J177-J167)/10*6+J167</f>
        <v>1416.4214546543276</v>
      </c>
      <c r="K173" s="715">
        <f>(K177-K167)/10*6+K167</f>
        <v>1480.3357124636445</v>
      </c>
      <c r="L173" s="715">
        <f>(L177-L167)/10*6+L167</f>
        <v>1677.5647389811593</v>
      </c>
      <c r="M173" s="726">
        <f>(M177-M167)/10*6+M167</f>
        <v>2229.8974636248895</v>
      </c>
    </row>
    <row r="174" spans="1:13" hidden="1" x14ac:dyDescent="0.2">
      <c r="A174" s="713">
        <v>13.7</v>
      </c>
      <c r="B174" s="714"/>
      <c r="C174" s="714"/>
      <c r="D174" s="714"/>
      <c r="E174" s="714"/>
      <c r="F174" s="714"/>
      <c r="G174" s="714"/>
      <c r="H174" s="715"/>
      <c r="I174" s="715"/>
      <c r="J174" s="715">
        <f>(J177-J167)/10*7+J167</f>
        <v>1424.3363477174937</v>
      </c>
      <c r="K174" s="715">
        <f>(K177-K167)/10*7+K167</f>
        <v>1493.3158123679764</v>
      </c>
      <c r="L174" s="715">
        <f>(L177-L167)/10*7+L167</f>
        <v>1691.7739384967686</v>
      </c>
      <c r="M174" s="726">
        <f>(M177-M167)/10*7+M167</f>
        <v>2248.9404025375416</v>
      </c>
    </row>
    <row r="175" spans="1:13" hidden="1" x14ac:dyDescent="0.2">
      <c r="A175" s="713">
        <v>13.8</v>
      </c>
      <c r="B175" s="714"/>
      <c r="C175" s="714"/>
      <c r="D175" s="714"/>
      <c r="E175" s="714"/>
      <c r="F175" s="714"/>
      <c r="G175" s="714"/>
      <c r="H175" s="715"/>
      <c r="I175" s="715"/>
      <c r="J175" s="715">
        <f>(J177-J167)/10*8+J167</f>
        <v>1432.2512407806601</v>
      </c>
      <c r="K175" s="715">
        <f>(K177-K167)/10*8+K167</f>
        <v>1506.2959122723082</v>
      </c>
      <c r="L175" s="715">
        <f>(L177-L167)/10*8+L167</f>
        <v>1705.983138012378</v>
      </c>
      <c r="M175" s="726">
        <f>(M177-M167)/10*8+M167</f>
        <v>2267.9833414501936</v>
      </c>
    </row>
    <row r="176" spans="1:13" hidden="1" x14ac:dyDescent="0.2">
      <c r="A176" s="713">
        <v>13.9</v>
      </c>
      <c r="B176" s="714"/>
      <c r="C176" s="714"/>
      <c r="D176" s="714"/>
      <c r="E176" s="714"/>
      <c r="F176" s="714"/>
      <c r="G176" s="714"/>
      <c r="H176" s="715"/>
      <c r="I176" s="715"/>
      <c r="J176" s="715">
        <f>(J177-J167)/10*9+J167</f>
        <v>1440.1661338438262</v>
      </c>
      <c r="K176" s="715">
        <f>(K177-K167)/10*9+K167</f>
        <v>1519.2760121766403</v>
      </c>
      <c r="L176" s="715">
        <f>(L177-L167)/10*9+L167</f>
        <v>1720.1923375279873</v>
      </c>
      <c r="M176" s="726">
        <f>(M177-M167)/10*9+M167</f>
        <v>2287.0262803628461</v>
      </c>
    </row>
    <row r="177" spans="1:13" hidden="1" x14ac:dyDescent="0.2">
      <c r="A177" s="713">
        <v>14</v>
      </c>
      <c r="B177" s="714"/>
      <c r="C177" s="714"/>
      <c r="D177" s="714"/>
      <c r="E177" s="714"/>
      <c r="F177" s="714"/>
      <c r="G177" s="714"/>
      <c r="H177" s="715"/>
      <c r="I177" s="715"/>
      <c r="J177" s="715">
        <v>1448.0810269069925</v>
      </c>
      <c r="K177" s="715">
        <v>1532.2561120809721</v>
      </c>
      <c r="L177" s="715">
        <v>1734.4015370435968</v>
      </c>
      <c r="M177" s="726">
        <v>2306.0692192754982</v>
      </c>
    </row>
    <row r="178" spans="1:13" hidden="1" x14ac:dyDescent="0.2">
      <c r="A178" s="713">
        <v>14.1</v>
      </c>
      <c r="B178" s="714"/>
      <c r="C178" s="714"/>
      <c r="D178" s="714"/>
      <c r="E178" s="714"/>
      <c r="F178" s="714"/>
      <c r="G178" s="714"/>
      <c r="H178" s="715"/>
      <c r="I178" s="715"/>
      <c r="J178" s="715">
        <f>(J187-J177)/10*1+J177</f>
        <v>1460.338036997174</v>
      </c>
      <c r="K178" s="715">
        <f>(K187-K177)/10*1+K177</f>
        <v>1545.6621432429804</v>
      </c>
      <c r="L178" s="715">
        <f>(L187-L177)/10*1+L177</f>
        <v>1741.3877627052057</v>
      </c>
      <c r="M178" s="726">
        <f>(M187-M177)/10*1+M177</f>
        <v>2325.8085497750671</v>
      </c>
    </row>
    <row r="179" spans="1:13" hidden="1" x14ac:dyDescent="0.2">
      <c r="A179" s="713">
        <v>14.2</v>
      </c>
      <c r="B179" s="714"/>
      <c r="C179" s="714"/>
      <c r="D179" s="714"/>
      <c r="E179" s="714"/>
      <c r="F179" s="714"/>
      <c r="G179" s="714"/>
      <c r="H179" s="715"/>
      <c r="I179" s="715"/>
      <c r="J179" s="715">
        <f>(J187-J177)/10*2+J177</f>
        <v>1472.5950470873554</v>
      </c>
      <c r="K179" s="715">
        <f>(K187-K177)/10*2+K177</f>
        <v>1559.0681744049887</v>
      </c>
      <c r="L179" s="715">
        <f>(L187-L177)/10*2+L177</f>
        <v>1748.3739883668143</v>
      </c>
      <c r="M179" s="726">
        <f>(M187-M177)/10*2+M177</f>
        <v>2345.5478802746361</v>
      </c>
    </row>
    <row r="180" spans="1:13" hidden="1" x14ac:dyDescent="0.2">
      <c r="A180" s="713">
        <v>14.3</v>
      </c>
      <c r="B180" s="714"/>
      <c r="C180" s="714"/>
      <c r="D180" s="714"/>
      <c r="E180" s="714"/>
      <c r="F180" s="714"/>
      <c r="G180" s="714"/>
      <c r="H180" s="715"/>
      <c r="I180" s="715"/>
      <c r="J180" s="715">
        <f>(J187-J177)/10*3+J177</f>
        <v>1484.8520571775368</v>
      </c>
      <c r="K180" s="715">
        <f>(K187-K177)/10*3+K177</f>
        <v>1572.4742055669969</v>
      </c>
      <c r="L180" s="715">
        <f>(L187-L177)/10*3+L177</f>
        <v>1755.3602140284229</v>
      </c>
      <c r="M180" s="726">
        <f>(M187-M177)/10*3+M177</f>
        <v>2365.2872107742051</v>
      </c>
    </row>
    <row r="181" spans="1:13" hidden="1" x14ac:dyDescent="0.2">
      <c r="A181" s="713">
        <v>14.4</v>
      </c>
      <c r="B181" s="714"/>
      <c r="C181" s="714"/>
      <c r="D181" s="714"/>
      <c r="E181" s="714"/>
      <c r="F181" s="714"/>
      <c r="G181" s="714"/>
      <c r="H181" s="715"/>
      <c r="I181" s="715"/>
      <c r="J181" s="715">
        <f>(J187-J177)/10*4+J177</f>
        <v>1497.1090672677183</v>
      </c>
      <c r="K181" s="715">
        <f>(K187-K177)/10*4+K177</f>
        <v>1585.8802367290052</v>
      </c>
      <c r="L181" s="715">
        <f>(L187-L177)/10*4+L177</f>
        <v>1762.3464396900317</v>
      </c>
      <c r="M181" s="726">
        <f>(M187-M177)/10*4+M177</f>
        <v>2385.026541273774</v>
      </c>
    </row>
    <row r="182" spans="1:13" hidden="1" x14ac:dyDescent="0.2">
      <c r="A182" s="713">
        <v>14.5</v>
      </c>
      <c r="B182" s="714"/>
      <c r="C182" s="714"/>
      <c r="D182" s="714"/>
      <c r="E182" s="714"/>
      <c r="F182" s="714"/>
      <c r="G182" s="714"/>
      <c r="H182" s="715"/>
      <c r="I182" s="715"/>
      <c r="J182" s="715">
        <f>(J187-J177)/10*5+J177</f>
        <v>1509.3660773578995</v>
      </c>
      <c r="K182" s="715">
        <f>(K187-K177)/10*5+K177</f>
        <v>1599.2862678910135</v>
      </c>
      <c r="L182" s="715">
        <f>(L187-L177)/10*5+L177</f>
        <v>1769.3326653516406</v>
      </c>
      <c r="M182" s="726">
        <f>(M187-M177)/10*5+M177</f>
        <v>2404.765871773343</v>
      </c>
    </row>
    <row r="183" spans="1:13" hidden="1" x14ac:dyDescent="0.2">
      <c r="A183" s="713">
        <v>14.6</v>
      </c>
      <c r="B183" s="714"/>
      <c r="C183" s="714"/>
      <c r="D183" s="714"/>
      <c r="E183" s="714"/>
      <c r="F183" s="714"/>
      <c r="G183" s="714"/>
      <c r="H183" s="715"/>
      <c r="I183" s="715"/>
      <c r="J183" s="715">
        <f>(J187-J177)/10*6+J177</f>
        <v>1521.6230874480809</v>
      </c>
      <c r="K183" s="715">
        <f>(K187-K177)/10*6+K177</f>
        <v>1612.6922990530218</v>
      </c>
      <c r="L183" s="715">
        <f>(L187-L177)/10*6+L177</f>
        <v>1776.3188910132492</v>
      </c>
      <c r="M183" s="726">
        <f>(M187-M177)/10*6+M177</f>
        <v>2424.5052022729114</v>
      </c>
    </row>
    <row r="184" spans="1:13" hidden="1" x14ac:dyDescent="0.2">
      <c r="A184" s="713">
        <v>14.7</v>
      </c>
      <c r="B184" s="714"/>
      <c r="C184" s="714"/>
      <c r="D184" s="714"/>
      <c r="E184" s="714"/>
      <c r="F184" s="714"/>
      <c r="G184" s="714"/>
      <c r="H184" s="715"/>
      <c r="I184" s="715"/>
      <c r="J184" s="715">
        <f>(J187-J177)/10*7+J177</f>
        <v>1533.8800975382624</v>
      </c>
      <c r="K184" s="715">
        <f>(K187-K177)/10*7+K177</f>
        <v>1626.09833021503</v>
      </c>
      <c r="L184" s="715">
        <f>(L187-L177)/10*7+L177</f>
        <v>1783.3051166748578</v>
      </c>
      <c r="M184" s="726">
        <f>(M187-M177)/10*7+M177</f>
        <v>2444.2445327724804</v>
      </c>
    </row>
    <row r="185" spans="1:13" hidden="1" x14ac:dyDescent="0.2">
      <c r="A185" s="713">
        <v>14.8</v>
      </c>
      <c r="B185" s="714"/>
      <c r="C185" s="714"/>
      <c r="D185" s="714"/>
      <c r="E185" s="714"/>
      <c r="F185" s="714"/>
      <c r="G185" s="714"/>
      <c r="H185" s="715"/>
      <c r="I185" s="715"/>
      <c r="J185" s="715">
        <f>(J187-J177)/10*8+J177</f>
        <v>1546.1371076284438</v>
      </c>
      <c r="K185" s="715">
        <f>(K187-K177)/10*8+K177</f>
        <v>1639.5043613770383</v>
      </c>
      <c r="L185" s="715">
        <f>(L187-L177)/10*8+L177</f>
        <v>1790.2913423364666</v>
      </c>
      <c r="M185" s="726">
        <f>(M187-M177)/10*8+M177</f>
        <v>2463.9838632720493</v>
      </c>
    </row>
    <row r="186" spans="1:13" hidden="1" x14ac:dyDescent="0.2">
      <c r="A186" s="713">
        <v>14.9</v>
      </c>
      <c r="B186" s="714"/>
      <c r="C186" s="714"/>
      <c r="D186" s="714"/>
      <c r="E186" s="714"/>
      <c r="F186" s="714"/>
      <c r="G186" s="714"/>
      <c r="H186" s="715"/>
      <c r="I186" s="715"/>
      <c r="J186" s="715">
        <f>(J187-J177)/10*9+J177</f>
        <v>1558.3941177186252</v>
      </c>
      <c r="K186" s="715">
        <f>(K187-K177)/10*9+K177</f>
        <v>1652.9103925390466</v>
      </c>
      <c r="L186" s="715">
        <f>(L187-L177)/10*9+L177</f>
        <v>1797.2775679980755</v>
      </c>
      <c r="M186" s="726">
        <f>(M187-M177)/10*9+M177</f>
        <v>2483.7231937716183</v>
      </c>
    </row>
    <row r="187" spans="1:13" hidden="1" x14ac:dyDescent="0.2">
      <c r="A187" s="713">
        <v>15</v>
      </c>
      <c r="B187" s="714"/>
      <c r="C187" s="714"/>
      <c r="D187" s="714"/>
      <c r="E187" s="714"/>
      <c r="F187" s="714"/>
      <c r="G187" s="714"/>
      <c r="H187" s="715"/>
      <c r="I187" s="715"/>
      <c r="J187" s="715">
        <v>1570.6511278088067</v>
      </c>
      <c r="K187" s="715">
        <v>1666.3164237010549</v>
      </c>
      <c r="L187" s="715">
        <v>1804.2637936596841</v>
      </c>
      <c r="M187" s="726">
        <v>2503.4625242711872</v>
      </c>
    </row>
    <row r="188" spans="1:13" hidden="1" x14ac:dyDescent="0.2">
      <c r="A188" s="713">
        <v>15.1</v>
      </c>
      <c r="B188" s="714"/>
      <c r="C188" s="714"/>
      <c r="D188" s="714"/>
      <c r="E188" s="714"/>
      <c r="F188" s="714"/>
      <c r="G188" s="714"/>
      <c r="H188" s="715"/>
      <c r="I188" s="715"/>
      <c r="J188" s="715">
        <f>(J197-J187)/10*1+J187</f>
        <v>1583.2075613799154</v>
      </c>
      <c r="K188" s="715">
        <f>(K197-K187)/10*1+K187</f>
        <v>1678.5451784413642</v>
      </c>
      <c r="L188" s="715">
        <f>(L197-L187)/10*1+L187</f>
        <v>1820.7239340597216</v>
      </c>
      <c r="M188" s="726">
        <f>(M197-M187)/10*1+M187</f>
        <v>2525.4659404194986</v>
      </c>
    </row>
    <row r="189" spans="1:13" hidden="1" x14ac:dyDescent="0.2">
      <c r="A189" s="713">
        <v>15.2</v>
      </c>
      <c r="B189" s="714"/>
      <c r="C189" s="714"/>
      <c r="D189" s="714"/>
      <c r="E189" s="714"/>
      <c r="F189" s="714"/>
      <c r="G189" s="714"/>
      <c r="H189" s="715"/>
      <c r="I189" s="715"/>
      <c r="J189" s="715">
        <f>(J197-J187)/10*2+J187</f>
        <v>1595.7639949510242</v>
      </c>
      <c r="K189" s="715">
        <f>(K197-K187)/10*2+K187</f>
        <v>1690.7739331816736</v>
      </c>
      <c r="L189" s="715">
        <f>(L197-L187)/10*2+L187</f>
        <v>1837.1840744597594</v>
      </c>
      <c r="M189" s="726">
        <f>(M197-M187)/10*2+M187</f>
        <v>2547.4693565678099</v>
      </c>
    </row>
    <row r="190" spans="1:13" hidden="1" x14ac:dyDescent="0.2">
      <c r="A190" s="713">
        <v>15.3</v>
      </c>
      <c r="B190" s="714"/>
      <c r="C190" s="714"/>
      <c r="D190" s="714"/>
      <c r="E190" s="714"/>
      <c r="F190" s="714"/>
      <c r="G190" s="714"/>
      <c r="H190" s="715"/>
      <c r="I190" s="715"/>
      <c r="J190" s="715">
        <f>(J197-J187)/10*3+J187</f>
        <v>1608.3204285221332</v>
      </c>
      <c r="K190" s="715">
        <f>(K197-K187)/10*3+K187</f>
        <v>1703.0026879219829</v>
      </c>
      <c r="L190" s="715">
        <f>(L197-L187)/10*3+L187</f>
        <v>1853.6442148597971</v>
      </c>
      <c r="M190" s="726">
        <f>(M197-M187)/10*3+M187</f>
        <v>2569.4727727161207</v>
      </c>
    </row>
    <row r="191" spans="1:13" hidden="1" x14ac:dyDescent="0.2">
      <c r="A191" s="713">
        <v>15.4</v>
      </c>
      <c r="B191" s="714"/>
      <c r="C191" s="714"/>
      <c r="D191" s="714"/>
      <c r="E191" s="714"/>
      <c r="F191" s="714"/>
      <c r="G191" s="714"/>
      <c r="H191" s="715"/>
      <c r="I191" s="715"/>
      <c r="J191" s="715">
        <f>(J197-J187)/10*4+J187</f>
        <v>1620.8768620932419</v>
      </c>
      <c r="K191" s="715">
        <f>(K197-K187)/10*4+K187</f>
        <v>1715.2314426622922</v>
      </c>
      <c r="L191" s="715">
        <f>(L197-L187)/10*4+L187</f>
        <v>1870.1043552598346</v>
      </c>
      <c r="M191" s="726">
        <f>(M197-M187)/10*4+M187</f>
        <v>2591.4761888644321</v>
      </c>
    </row>
    <row r="192" spans="1:13" hidden="1" x14ac:dyDescent="0.2">
      <c r="A192" s="713">
        <v>15.5</v>
      </c>
      <c r="B192" s="714"/>
      <c r="C192" s="714"/>
      <c r="D192" s="714"/>
      <c r="E192" s="714"/>
      <c r="F192" s="714"/>
      <c r="G192" s="714"/>
      <c r="H192" s="715"/>
      <c r="I192" s="715"/>
      <c r="J192" s="715">
        <f>(J197-J187)/10*5+J187</f>
        <v>1633.4332956643507</v>
      </c>
      <c r="K192" s="715">
        <f>(K197-K187)/10*5+K187</f>
        <v>1727.4601974026018</v>
      </c>
      <c r="L192" s="715">
        <f>(L197-L187)/10*5+L187</f>
        <v>1886.5644956598721</v>
      </c>
      <c r="M192" s="726">
        <f>(M197-M187)/10*5+M187</f>
        <v>2613.4796050127434</v>
      </c>
    </row>
    <row r="193" spans="1:13" hidden="1" x14ac:dyDescent="0.2">
      <c r="A193" s="713">
        <v>15.6</v>
      </c>
      <c r="B193" s="714"/>
      <c r="C193" s="714"/>
      <c r="D193" s="714"/>
      <c r="E193" s="714"/>
      <c r="F193" s="714"/>
      <c r="G193" s="714"/>
      <c r="H193" s="715"/>
      <c r="I193" s="715"/>
      <c r="J193" s="715">
        <f>(J197-J187)/10*6+J187</f>
        <v>1645.9897292354594</v>
      </c>
      <c r="K193" s="715">
        <f>(K197-K187)/10*6+K187</f>
        <v>1739.6889521429111</v>
      </c>
      <c r="L193" s="715">
        <f>(L197-L187)/10*6+L187</f>
        <v>1903.0246360599099</v>
      </c>
      <c r="M193" s="726">
        <f>(M197-M187)/10*6+M187</f>
        <v>2635.4830211610547</v>
      </c>
    </row>
    <row r="194" spans="1:13" hidden="1" x14ac:dyDescent="0.2">
      <c r="A194" s="713">
        <v>15.7</v>
      </c>
      <c r="B194" s="714"/>
      <c r="C194" s="714"/>
      <c r="D194" s="714"/>
      <c r="E194" s="714"/>
      <c r="F194" s="714"/>
      <c r="G194" s="714"/>
      <c r="H194" s="715"/>
      <c r="I194" s="715"/>
      <c r="J194" s="715">
        <f>(J197-J187)/10*7+J187</f>
        <v>1658.5461628065682</v>
      </c>
      <c r="K194" s="715">
        <f>(K197-K187)/10*7+K187</f>
        <v>1751.9177068832205</v>
      </c>
      <c r="L194" s="715">
        <f>(L197-L187)/10*7+L187</f>
        <v>1919.4847764599476</v>
      </c>
      <c r="M194" s="726">
        <f>(M197-M187)/10*7+M187</f>
        <v>2657.486437309366</v>
      </c>
    </row>
    <row r="195" spans="1:13" hidden="1" x14ac:dyDescent="0.2">
      <c r="A195" s="713">
        <v>15.8</v>
      </c>
      <c r="B195" s="714"/>
      <c r="C195" s="714"/>
      <c r="D195" s="714"/>
      <c r="E195" s="714"/>
      <c r="F195" s="714"/>
      <c r="G195" s="714"/>
      <c r="H195" s="715"/>
      <c r="I195" s="715"/>
      <c r="J195" s="715">
        <f>(J197-J187)/10*8+J187</f>
        <v>1671.1025963776772</v>
      </c>
      <c r="K195" s="715">
        <f>(K197-K187)/10*8+K187</f>
        <v>1764.1464616235298</v>
      </c>
      <c r="L195" s="715">
        <f>(L197-L187)/10*8+L187</f>
        <v>1935.9449168599851</v>
      </c>
      <c r="M195" s="726">
        <f>(M197-M187)/10*8+M187</f>
        <v>2679.4898534576769</v>
      </c>
    </row>
    <row r="196" spans="1:13" hidden="1" x14ac:dyDescent="0.2">
      <c r="A196" s="713">
        <v>15.9</v>
      </c>
      <c r="B196" s="714"/>
      <c r="C196" s="714"/>
      <c r="D196" s="714"/>
      <c r="E196" s="714"/>
      <c r="F196" s="714"/>
      <c r="G196" s="714"/>
      <c r="H196" s="715"/>
      <c r="I196" s="715"/>
      <c r="J196" s="715">
        <f>(J197-J187)/10*9+J187</f>
        <v>1683.6590299487859</v>
      </c>
      <c r="K196" s="715">
        <f>(K197-K187)/10*9+K187</f>
        <v>1776.3752163638392</v>
      </c>
      <c r="L196" s="715">
        <f>(L197-L187)/10*9+L187</f>
        <v>1952.4050572600227</v>
      </c>
      <c r="M196" s="726">
        <f>(M197-M187)/10*9+M187</f>
        <v>2701.4932696059882</v>
      </c>
    </row>
    <row r="197" spans="1:13" hidden="1" x14ac:dyDescent="0.2">
      <c r="A197" s="713">
        <v>16</v>
      </c>
      <c r="B197" s="714"/>
      <c r="C197" s="714"/>
      <c r="D197" s="714"/>
      <c r="E197" s="714"/>
      <c r="F197" s="714"/>
      <c r="G197" s="714"/>
      <c r="H197" s="715"/>
      <c r="I197" s="715"/>
      <c r="J197" s="715">
        <v>1696.2154635198947</v>
      </c>
      <c r="K197" s="715">
        <v>1788.6039711041485</v>
      </c>
      <c r="L197" s="715">
        <v>1968.8651976600604</v>
      </c>
      <c r="M197" s="726">
        <v>2723.4966857542995</v>
      </c>
    </row>
    <row r="198" spans="1:13" hidden="1" x14ac:dyDescent="0.2">
      <c r="A198" s="713">
        <v>16.100000000000001</v>
      </c>
      <c r="B198" s="714"/>
      <c r="C198" s="714"/>
      <c r="D198" s="714"/>
      <c r="E198" s="714"/>
      <c r="F198" s="714"/>
      <c r="G198" s="714"/>
      <c r="H198" s="714"/>
      <c r="I198" s="714"/>
      <c r="J198" s="715">
        <f>(J207-J197)/10*1+J197</f>
        <v>1709.8092183805882</v>
      </c>
      <c r="K198" s="715">
        <f>(K207-K197)/10*1+K197</f>
        <v>1803.3003343986124</v>
      </c>
      <c r="L198" s="715">
        <f>(L207-L197)/10*1+L197</f>
        <v>1985.9805947788745</v>
      </c>
      <c r="M198" s="726">
        <f>(M207-M197)/10*1+M197</f>
        <v>2743.5280143450341</v>
      </c>
    </row>
    <row r="199" spans="1:13" hidden="1" x14ac:dyDescent="0.2">
      <c r="A199" s="713">
        <v>16.2</v>
      </c>
      <c r="B199" s="714"/>
      <c r="C199" s="714"/>
      <c r="D199" s="714"/>
      <c r="E199" s="714"/>
      <c r="F199" s="714"/>
      <c r="G199" s="714"/>
      <c r="H199" s="714"/>
      <c r="I199" s="714"/>
      <c r="J199" s="715">
        <f>(J207-J197)/10*2+J197</f>
        <v>1723.4029732412814</v>
      </c>
      <c r="K199" s="715">
        <f>(K207-K197)/10*2+K197</f>
        <v>1817.9966976930766</v>
      </c>
      <c r="L199" s="715">
        <f>(L207-L197)/10*2+L197</f>
        <v>2003.0959918976887</v>
      </c>
      <c r="M199" s="726">
        <f>(M207-M197)/10*2+M197</f>
        <v>2763.5593429357682</v>
      </c>
    </row>
    <row r="200" spans="1:13" hidden="1" x14ac:dyDescent="0.2">
      <c r="A200" s="713">
        <v>16.3</v>
      </c>
      <c r="B200" s="714"/>
      <c r="C200" s="714"/>
      <c r="D200" s="714"/>
      <c r="E200" s="714"/>
      <c r="F200" s="714"/>
      <c r="G200" s="714"/>
      <c r="H200" s="714"/>
      <c r="I200" s="714"/>
      <c r="J200" s="715">
        <f>(J207-J197)/10*3+J197</f>
        <v>1736.9967281019749</v>
      </c>
      <c r="K200" s="715">
        <f>(K207-K197)/10*3+K197</f>
        <v>1832.6930609875405</v>
      </c>
      <c r="L200" s="715">
        <f>(L207-L197)/10*3+L197</f>
        <v>2020.2113890165031</v>
      </c>
      <c r="M200" s="726">
        <f>(M207-M197)/10*3+M197</f>
        <v>2783.5906715265028</v>
      </c>
    </row>
    <row r="201" spans="1:13" hidden="1" x14ac:dyDescent="0.2">
      <c r="A201" s="713">
        <v>16.399999999999999</v>
      </c>
      <c r="B201" s="714"/>
      <c r="C201" s="714"/>
      <c r="D201" s="714"/>
      <c r="E201" s="714"/>
      <c r="F201" s="714"/>
      <c r="G201" s="714"/>
      <c r="H201" s="714"/>
      <c r="I201" s="714"/>
      <c r="J201" s="715">
        <f>(J207-J197)/10*4+J197</f>
        <v>1750.5904829626684</v>
      </c>
      <c r="K201" s="715">
        <f>(K207-K197)/10*4+K197</f>
        <v>1847.3894242820047</v>
      </c>
      <c r="L201" s="715">
        <f>(L207-L197)/10*4+L197</f>
        <v>2037.3267861353172</v>
      </c>
      <c r="M201" s="726">
        <f>(M207-M197)/10*4+M197</f>
        <v>2803.6220001172369</v>
      </c>
    </row>
    <row r="202" spans="1:13" hidden="1" x14ac:dyDescent="0.2">
      <c r="A202" s="713">
        <v>16.5</v>
      </c>
      <c r="B202" s="714"/>
      <c r="C202" s="714"/>
      <c r="D202" s="714"/>
      <c r="E202" s="714"/>
      <c r="F202" s="714"/>
      <c r="G202" s="714"/>
      <c r="H202" s="714"/>
      <c r="I202" s="714"/>
      <c r="J202" s="715">
        <f>(J207-J197)/10*5+J197</f>
        <v>1764.1842378233619</v>
      </c>
      <c r="K202" s="715">
        <f>(K207-K197)/10*5+K197</f>
        <v>1862.0857875764686</v>
      </c>
      <c r="L202" s="715">
        <f>(L207-L197)/10*5+L197</f>
        <v>2054.4421832541311</v>
      </c>
      <c r="M202" s="726">
        <f>(M207-M197)/10*5+M197</f>
        <v>2823.6533287079715</v>
      </c>
    </row>
    <row r="203" spans="1:13" hidden="1" x14ac:dyDescent="0.2">
      <c r="A203" s="713">
        <v>16.600000000000001</v>
      </c>
      <c r="B203" s="714"/>
      <c r="C203" s="714"/>
      <c r="D203" s="714"/>
      <c r="E203" s="714"/>
      <c r="F203" s="714"/>
      <c r="G203" s="714"/>
      <c r="H203" s="714"/>
      <c r="I203" s="714"/>
      <c r="J203" s="715">
        <f>(J207-J197)/10*6+J197</f>
        <v>1777.7779926840551</v>
      </c>
      <c r="K203" s="715">
        <f>(K207-K197)/10*6+K197</f>
        <v>1876.7821508709326</v>
      </c>
      <c r="L203" s="715">
        <f>(L207-L197)/10*6+L197</f>
        <v>2071.5575803729457</v>
      </c>
      <c r="M203" s="726">
        <f>(M207-M197)/10*6+M197</f>
        <v>2843.684657298706</v>
      </c>
    </row>
    <row r="204" spans="1:13" hidden="1" x14ac:dyDescent="0.2">
      <c r="A204" s="713">
        <v>16.7</v>
      </c>
      <c r="B204" s="714"/>
      <c r="C204" s="714"/>
      <c r="D204" s="714"/>
      <c r="E204" s="714"/>
      <c r="F204" s="714"/>
      <c r="G204" s="714"/>
      <c r="H204" s="714"/>
      <c r="I204" s="714"/>
      <c r="J204" s="715">
        <f>(J207-J197)/10*7+J197</f>
        <v>1791.3717475447486</v>
      </c>
      <c r="K204" s="715">
        <f>(K207-K197)/10*7+K197</f>
        <v>1891.4785141653967</v>
      </c>
      <c r="L204" s="715">
        <f>(L207-L197)/10*7+L197</f>
        <v>2088.6729774917599</v>
      </c>
      <c r="M204" s="726">
        <f>(M207-M197)/10*7+M197</f>
        <v>2863.7159858894402</v>
      </c>
    </row>
    <row r="205" spans="1:13" hidden="1" x14ac:dyDescent="0.2">
      <c r="A205" s="713">
        <v>16.8</v>
      </c>
      <c r="B205" s="714"/>
      <c r="C205" s="714"/>
      <c r="D205" s="714"/>
      <c r="E205" s="714"/>
      <c r="F205" s="714"/>
      <c r="G205" s="714"/>
      <c r="H205" s="714"/>
      <c r="I205" s="714"/>
      <c r="J205" s="715">
        <f>(J207-J197)/10*8+J197</f>
        <v>1804.9655024054421</v>
      </c>
      <c r="K205" s="715">
        <f>(K207-K197)/10*8+K197</f>
        <v>1906.1748774598607</v>
      </c>
      <c r="L205" s="715">
        <f>(L207-L197)/10*8+L197</f>
        <v>2105.788374610574</v>
      </c>
      <c r="M205" s="726">
        <f>(M207-M197)/10*8+M197</f>
        <v>2883.7473144801747</v>
      </c>
    </row>
    <row r="206" spans="1:13" hidden="1" x14ac:dyDescent="0.2">
      <c r="A206" s="713">
        <v>16.899999999999999</v>
      </c>
      <c r="B206" s="714"/>
      <c r="C206" s="714"/>
      <c r="D206" s="714"/>
      <c r="E206" s="714"/>
      <c r="F206" s="714"/>
      <c r="G206" s="714"/>
      <c r="H206" s="714"/>
      <c r="I206" s="714"/>
      <c r="J206" s="715">
        <f>(J207-J197)/10*9+J197</f>
        <v>1818.5592572661353</v>
      </c>
      <c r="K206" s="715">
        <f>(K207-K197)/10*9+K197</f>
        <v>1920.8712407543248</v>
      </c>
      <c r="L206" s="715">
        <f>(L207-L197)/10*9+L197</f>
        <v>2122.9037717293882</v>
      </c>
      <c r="M206" s="726">
        <f>(M207-M197)/10*9+M197</f>
        <v>2903.7786430709089</v>
      </c>
    </row>
    <row r="207" spans="1:13" hidden="1" x14ac:dyDescent="0.2">
      <c r="A207" s="713">
        <v>17</v>
      </c>
      <c r="B207" s="714"/>
      <c r="C207" s="714"/>
      <c r="D207" s="714"/>
      <c r="E207" s="714"/>
      <c r="F207" s="714"/>
      <c r="G207" s="714"/>
      <c r="H207" s="714"/>
      <c r="I207" s="714"/>
      <c r="J207" s="715">
        <v>1832.1530121268288</v>
      </c>
      <c r="K207" s="715">
        <v>1935.5676040487888</v>
      </c>
      <c r="L207" s="715">
        <v>2140.0191688482023</v>
      </c>
      <c r="M207" s="726">
        <v>2923.8099716616434</v>
      </c>
    </row>
    <row r="208" spans="1:13" hidden="1" x14ac:dyDescent="0.2">
      <c r="A208" s="713">
        <v>17.100000000000001</v>
      </c>
      <c r="B208" s="714"/>
      <c r="C208" s="714"/>
      <c r="D208" s="714"/>
      <c r="E208" s="714"/>
      <c r="F208" s="714"/>
      <c r="G208" s="714"/>
      <c r="H208" s="714"/>
      <c r="I208" s="714"/>
      <c r="J208" s="715">
        <f>(J217-J207)/10*1+J207</f>
        <v>1842.4906341143819</v>
      </c>
      <c r="K208" s="715">
        <f>(K217-K207)/10*1+K207</f>
        <v>1951.0868473425894</v>
      </c>
      <c r="L208" s="715">
        <f>(L217-L207)/10*1+L207</f>
        <v>2158.2217240687933</v>
      </c>
      <c r="M208" s="726">
        <f>(M217-M207)/10*1+M207</f>
        <v>2945.2511813530355</v>
      </c>
    </row>
    <row r="209" spans="1:13" hidden="1" x14ac:dyDescent="0.2">
      <c r="A209" s="713">
        <v>17.2</v>
      </c>
      <c r="B209" s="714"/>
      <c r="C209" s="714"/>
      <c r="D209" s="714"/>
      <c r="E209" s="714"/>
      <c r="F209" s="714"/>
      <c r="G209" s="714"/>
      <c r="H209" s="714"/>
      <c r="I209" s="714"/>
      <c r="J209" s="715">
        <f>(J217-J207)/10*2+J207</f>
        <v>1852.8282561019348</v>
      </c>
      <c r="K209" s="715">
        <f>(K217-K207)/10*2+K207</f>
        <v>1966.60609063639</v>
      </c>
      <c r="L209" s="715">
        <f>(L217-L207)/10*2+L207</f>
        <v>2176.4242792893847</v>
      </c>
      <c r="M209" s="726">
        <f>(M217-M207)/10*2+M207</f>
        <v>2966.6923910444275</v>
      </c>
    </row>
    <row r="210" spans="1:13" hidden="1" x14ac:dyDescent="0.2">
      <c r="A210" s="713">
        <v>17.3</v>
      </c>
      <c r="B210" s="714"/>
      <c r="C210" s="714"/>
      <c r="D210" s="714"/>
      <c r="E210" s="714"/>
      <c r="F210" s="714"/>
      <c r="G210" s="714"/>
      <c r="H210" s="714"/>
      <c r="I210" s="714"/>
      <c r="J210" s="715">
        <f>(J217-J207)/10*3+J207</f>
        <v>1863.1658780894877</v>
      </c>
      <c r="K210" s="715">
        <f>(K217-K207)/10*3+K207</f>
        <v>1982.1253339301907</v>
      </c>
      <c r="L210" s="715">
        <f>(L217-L207)/10*3+L207</f>
        <v>2194.6268345099761</v>
      </c>
      <c r="M210" s="726">
        <f>(M217-M207)/10*3+M207</f>
        <v>2988.1336007358195</v>
      </c>
    </row>
    <row r="211" spans="1:13" hidden="1" x14ac:dyDescent="0.2">
      <c r="A211" s="713">
        <v>17.399999999999999</v>
      </c>
      <c r="B211" s="714"/>
      <c r="C211" s="714"/>
      <c r="D211" s="714"/>
      <c r="E211" s="714"/>
      <c r="F211" s="714"/>
      <c r="G211" s="714"/>
      <c r="H211" s="714"/>
      <c r="I211" s="714"/>
      <c r="J211" s="715">
        <f>(J217-J207)/10*4+J207</f>
        <v>1873.5035000770408</v>
      </c>
      <c r="K211" s="715">
        <f>(K217-K207)/10*4+K207</f>
        <v>1997.6445772239913</v>
      </c>
      <c r="L211" s="715">
        <f>(L217-L207)/10*4+L207</f>
        <v>2212.8293897305671</v>
      </c>
      <c r="M211" s="726">
        <f>(M217-M207)/10*4+M207</f>
        <v>3009.5748104272116</v>
      </c>
    </row>
    <row r="212" spans="1:13" hidden="1" x14ac:dyDescent="0.2">
      <c r="A212" s="713">
        <v>17.5</v>
      </c>
      <c r="B212" s="714"/>
      <c r="C212" s="714"/>
      <c r="D212" s="714"/>
      <c r="E212" s="714"/>
      <c r="F212" s="714"/>
      <c r="G212" s="714"/>
      <c r="H212" s="714"/>
      <c r="I212" s="714"/>
      <c r="J212" s="715">
        <f>(J217-J207)/10*5+J207</f>
        <v>1883.8411220645939</v>
      </c>
      <c r="K212" s="715">
        <f>(K217-K207)/10*5+K207</f>
        <v>2013.1638205177919</v>
      </c>
      <c r="L212" s="715">
        <f>(L217-L207)/10*5+L207</f>
        <v>2231.031944951158</v>
      </c>
      <c r="M212" s="726">
        <f>(M217-M207)/10*5+M207</f>
        <v>3031.0160201186036</v>
      </c>
    </row>
    <row r="213" spans="1:13" hidden="1" x14ac:dyDescent="0.2">
      <c r="A213" s="713">
        <v>17.600000000000001</v>
      </c>
      <c r="B213" s="714"/>
      <c r="C213" s="714"/>
      <c r="D213" s="714"/>
      <c r="E213" s="714"/>
      <c r="F213" s="714"/>
      <c r="G213" s="714"/>
      <c r="H213" s="714"/>
      <c r="I213" s="714"/>
      <c r="J213" s="715">
        <f>(J217-J207)/10*6+J207</f>
        <v>1894.1787440521468</v>
      </c>
      <c r="K213" s="715">
        <f>(K217-K207)/10*6+K207</f>
        <v>2028.6830638115925</v>
      </c>
      <c r="L213" s="715">
        <f>(L217-L207)/10*6+L207</f>
        <v>2249.2345001717495</v>
      </c>
      <c r="M213" s="726">
        <f>(M217-M207)/10*6+M207</f>
        <v>3052.4572298099961</v>
      </c>
    </row>
    <row r="214" spans="1:13" hidden="1" x14ac:dyDescent="0.2">
      <c r="A214" s="713">
        <v>17.7</v>
      </c>
      <c r="B214" s="714"/>
      <c r="C214" s="714"/>
      <c r="D214" s="714"/>
      <c r="E214" s="714"/>
      <c r="F214" s="714"/>
      <c r="G214" s="714"/>
      <c r="H214" s="714"/>
      <c r="I214" s="714"/>
      <c r="J214" s="715">
        <f>(J217-J207)/10*7+J207</f>
        <v>1904.5163660396997</v>
      </c>
      <c r="K214" s="715">
        <f>(K217-K207)/10*7+K207</f>
        <v>2044.2023071053932</v>
      </c>
      <c r="L214" s="715">
        <f>(L217-L207)/10*7+L207</f>
        <v>2267.4370553923409</v>
      </c>
      <c r="M214" s="726">
        <f>(M217-M207)/10*7+M207</f>
        <v>3073.8984395013881</v>
      </c>
    </row>
    <row r="215" spans="1:13" hidden="1" x14ac:dyDescent="0.2">
      <c r="A215" s="713">
        <v>17.8</v>
      </c>
      <c r="B215" s="714"/>
      <c r="C215" s="714"/>
      <c r="D215" s="714"/>
      <c r="E215" s="714"/>
      <c r="F215" s="714"/>
      <c r="G215" s="714"/>
      <c r="H215" s="714"/>
      <c r="I215" s="714"/>
      <c r="J215" s="715">
        <f>(J217-J207)/10*8+J207</f>
        <v>1914.8539880272529</v>
      </c>
      <c r="K215" s="715">
        <f>(K217-K207)/10*8+K207</f>
        <v>2059.7215503991938</v>
      </c>
      <c r="L215" s="715">
        <f>(L217-L207)/10*8+L207</f>
        <v>2285.6396106129318</v>
      </c>
      <c r="M215" s="726">
        <f>(M217-M207)/10*8+M207</f>
        <v>3095.3396491927801</v>
      </c>
    </row>
    <row r="216" spans="1:13" hidden="1" x14ac:dyDescent="0.2">
      <c r="A216" s="713">
        <v>17.899999999999999</v>
      </c>
      <c r="B216" s="714"/>
      <c r="C216" s="714"/>
      <c r="D216" s="714"/>
      <c r="E216" s="714"/>
      <c r="F216" s="714"/>
      <c r="G216" s="714"/>
      <c r="H216" s="714"/>
      <c r="I216" s="714"/>
      <c r="J216" s="715">
        <f>(J217-J207)/10*9+J207</f>
        <v>1925.191610014806</v>
      </c>
      <c r="K216" s="715">
        <f>(K217-K207)/10*9+K207</f>
        <v>2075.2407936929944</v>
      </c>
      <c r="L216" s="715">
        <f>(L217-L207)/10*9+L207</f>
        <v>2303.8421658335228</v>
      </c>
      <c r="M216" s="726">
        <f>(M217-M207)/10*9+M207</f>
        <v>3116.7808588841722</v>
      </c>
    </row>
    <row r="217" spans="1:13" hidden="1" x14ac:dyDescent="0.2">
      <c r="A217" s="713">
        <v>18</v>
      </c>
      <c r="B217" s="714"/>
      <c r="C217" s="714"/>
      <c r="D217" s="714"/>
      <c r="E217" s="714"/>
      <c r="F217" s="714"/>
      <c r="G217" s="714"/>
      <c r="H217" s="714"/>
      <c r="I217" s="714"/>
      <c r="J217" s="715">
        <v>1935.5292320023589</v>
      </c>
      <c r="K217" s="715">
        <v>2090.7600369867951</v>
      </c>
      <c r="L217" s="715">
        <v>2322.0447210541142</v>
      </c>
      <c r="M217" s="726">
        <v>3138.2220685755642</v>
      </c>
    </row>
    <row r="218" spans="1:13" hidden="1" x14ac:dyDescent="0.2">
      <c r="A218" s="713">
        <v>18.100000000000001</v>
      </c>
      <c r="B218" s="714"/>
      <c r="C218" s="714"/>
      <c r="D218" s="714"/>
      <c r="E218" s="714"/>
      <c r="F218" s="714"/>
      <c r="G218" s="714"/>
      <c r="H218" s="714"/>
      <c r="I218" s="714"/>
      <c r="J218" s="715">
        <f>(J227-J217)/10*1+J217</f>
        <v>1950.476308802123</v>
      </c>
      <c r="K218" s="715">
        <f>(K227-K217)/10*1+K217</f>
        <v>2100.5840332881157</v>
      </c>
      <c r="L218" s="715">
        <f>(L227-L217)/10*1+L217</f>
        <v>2342.4402489487029</v>
      </c>
      <c r="M218" s="726">
        <f>(M227-M217)/10*1+M217</f>
        <v>3162.4998617180077</v>
      </c>
    </row>
    <row r="219" spans="1:13" hidden="1" x14ac:dyDescent="0.2">
      <c r="A219" s="713">
        <v>18.2</v>
      </c>
      <c r="B219" s="714"/>
      <c r="C219" s="714"/>
      <c r="D219" s="714"/>
      <c r="E219" s="714"/>
      <c r="F219" s="714"/>
      <c r="G219" s="714"/>
      <c r="H219" s="714"/>
      <c r="I219" s="714"/>
      <c r="J219" s="715">
        <f>(J227-J217)/10*2+J217</f>
        <v>1965.423385601887</v>
      </c>
      <c r="K219" s="715">
        <f>(K227-K217)/10*2+K217</f>
        <v>2110.408029589436</v>
      </c>
      <c r="L219" s="715">
        <f>(L227-L217)/10*2+L217</f>
        <v>2362.8357768432916</v>
      </c>
      <c r="M219" s="726">
        <f>(M227-M217)/10*2+M217</f>
        <v>3186.7776548604515</v>
      </c>
    </row>
    <row r="220" spans="1:13" hidden="1" x14ac:dyDescent="0.2">
      <c r="A220" s="713">
        <v>18.3</v>
      </c>
      <c r="B220" s="714"/>
      <c r="C220" s="714"/>
      <c r="D220" s="714"/>
      <c r="E220" s="714"/>
      <c r="F220" s="714"/>
      <c r="G220" s="714"/>
      <c r="H220" s="714"/>
      <c r="I220" s="714"/>
      <c r="J220" s="715">
        <f>(J227-J217)/10*3+J217</f>
        <v>1980.3704624016511</v>
      </c>
      <c r="K220" s="715">
        <f>(K227-K217)/10*3+K217</f>
        <v>2120.2320258907566</v>
      </c>
      <c r="L220" s="715">
        <f>(L227-L217)/10*3+L217</f>
        <v>2383.2313047378798</v>
      </c>
      <c r="M220" s="726">
        <f>(M227-M217)/10*3+M217</f>
        <v>3211.055448002895</v>
      </c>
    </row>
    <row r="221" spans="1:13" hidden="1" x14ac:dyDescent="0.2">
      <c r="A221" s="713">
        <v>18.399999999999999</v>
      </c>
      <c r="B221" s="714"/>
      <c r="C221" s="714"/>
      <c r="D221" s="714"/>
      <c r="E221" s="714"/>
      <c r="F221" s="714"/>
      <c r="G221" s="714"/>
      <c r="H221" s="714"/>
      <c r="I221" s="714"/>
      <c r="J221" s="715">
        <f>(J227-J217)/10*4+J217</f>
        <v>1995.3175392014152</v>
      </c>
      <c r="K221" s="715">
        <f>(K227-K217)/10*4+K217</f>
        <v>2130.0560221920769</v>
      </c>
      <c r="L221" s="715">
        <f>(L227-L217)/10*4+L217</f>
        <v>2403.6268326324684</v>
      </c>
      <c r="M221" s="726">
        <f>(M227-M217)/10*4+M217</f>
        <v>3235.3332411453384</v>
      </c>
    </row>
    <row r="222" spans="1:13" hidden="1" x14ac:dyDescent="0.2">
      <c r="A222" s="713">
        <v>18.5</v>
      </c>
      <c r="B222" s="714"/>
      <c r="C222" s="714"/>
      <c r="D222" s="714"/>
      <c r="E222" s="714"/>
      <c r="F222" s="714"/>
      <c r="G222" s="714"/>
      <c r="H222" s="714"/>
      <c r="I222" s="714"/>
      <c r="J222" s="715">
        <f>(J227-J217)/10*5+J217</f>
        <v>2010.2646160011795</v>
      </c>
      <c r="K222" s="715">
        <f>(K227-K217)/10*5+K217</f>
        <v>2139.8800184933975</v>
      </c>
      <c r="L222" s="715">
        <f>(L227-L217)/10*5+L217</f>
        <v>2424.0223605270571</v>
      </c>
      <c r="M222" s="726">
        <f>(M227-M217)/10*5+M217</f>
        <v>3259.6110342877819</v>
      </c>
    </row>
    <row r="223" spans="1:13" hidden="1" x14ac:dyDescent="0.2">
      <c r="A223" s="713">
        <v>18.600000000000001</v>
      </c>
      <c r="B223" s="714"/>
      <c r="C223" s="714"/>
      <c r="D223" s="714"/>
      <c r="E223" s="714"/>
      <c r="F223" s="714"/>
      <c r="G223" s="714"/>
      <c r="H223" s="714"/>
      <c r="I223" s="714"/>
      <c r="J223" s="715">
        <f>(J227-J217)/10*6+J217</f>
        <v>2025.2116928009436</v>
      </c>
      <c r="K223" s="715">
        <f>(K227-K217)/10*6+K217</f>
        <v>2149.7040147947182</v>
      </c>
      <c r="L223" s="715">
        <f>(L227-L217)/10*6+L217</f>
        <v>2444.4178884216458</v>
      </c>
      <c r="M223" s="726">
        <f>(M227-M217)/10*6+M217</f>
        <v>3283.8888274302258</v>
      </c>
    </row>
    <row r="224" spans="1:13" hidden="1" x14ac:dyDescent="0.2">
      <c r="A224" s="713">
        <v>18.7</v>
      </c>
      <c r="B224" s="714"/>
      <c r="C224" s="714"/>
      <c r="D224" s="714"/>
      <c r="E224" s="714"/>
      <c r="F224" s="714"/>
      <c r="G224" s="714"/>
      <c r="H224" s="714"/>
      <c r="I224" s="714"/>
      <c r="J224" s="715">
        <f>(J227-J217)/10*7+J217</f>
        <v>2040.1587696007077</v>
      </c>
      <c r="K224" s="715">
        <f>(K227-K217)/10*7+K217</f>
        <v>2159.5280110960384</v>
      </c>
      <c r="L224" s="715">
        <f>(L227-L217)/10*7+L217</f>
        <v>2464.8134163162345</v>
      </c>
      <c r="M224" s="726">
        <f>(M227-M217)/10*7+M217</f>
        <v>3308.1666205726692</v>
      </c>
    </row>
    <row r="225" spans="1:13" hidden="1" x14ac:dyDescent="0.2">
      <c r="A225" s="713">
        <v>18.8</v>
      </c>
      <c r="B225" s="714"/>
      <c r="C225" s="714"/>
      <c r="D225" s="714"/>
      <c r="E225" s="714"/>
      <c r="F225" s="714"/>
      <c r="G225" s="714"/>
      <c r="H225" s="714"/>
      <c r="I225" s="714"/>
      <c r="J225" s="715">
        <f>(J227-J217)/10*8+J217</f>
        <v>2055.1058464004718</v>
      </c>
      <c r="K225" s="715">
        <f>(K227-K217)/10*8+K217</f>
        <v>2169.3520073973591</v>
      </c>
      <c r="L225" s="715">
        <f>(L227-L217)/10*8+L217</f>
        <v>2485.2089442108227</v>
      </c>
      <c r="M225" s="726">
        <f>(M227-M217)/10*8+M217</f>
        <v>3332.4444137151127</v>
      </c>
    </row>
    <row r="226" spans="1:13" hidden="1" x14ac:dyDescent="0.2">
      <c r="A226" s="713">
        <v>18.899999999999999</v>
      </c>
      <c r="B226" s="714"/>
      <c r="C226" s="714"/>
      <c r="D226" s="714"/>
      <c r="E226" s="714"/>
      <c r="F226" s="714"/>
      <c r="G226" s="714"/>
      <c r="H226" s="714"/>
      <c r="I226" s="714"/>
      <c r="J226" s="715">
        <f>(J227-J217)/10*9+J217</f>
        <v>2070.0529232002359</v>
      </c>
      <c r="K226" s="715">
        <f>(K227-K217)/10*9+K217</f>
        <v>2179.1760036986793</v>
      </c>
      <c r="L226" s="715">
        <f>(L227-L217)/10*9+L217</f>
        <v>2505.6044721054113</v>
      </c>
      <c r="M226" s="726">
        <f>(M227-M217)/10*9+M217</f>
        <v>3356.7222068575566</v>
      </c>
    </row>
    <row r="227" spans="1:13" ht="13.5" hidden="1" thickBot="1" x14ac:dyDescent="0.25">
      <c r="A227" s="716">
        <v>19</v>
      </c>
      <c r="B227" s="727"/>
      <c r="C227" s="727"/>
      <c r="D227" s="727"/>
      <c r="E227" s="727"/>
      <c r="F227" s="727"/>
      <c r="G227" s="727"/>
      <c r="H227" s="727"/>
      <c r="I227" s="727"/>
      <c r="J227" s="717">
        <v>2085</v>
      </c>
      <c r="K227" s="717">
        <v>2189</v>
      </c>
      <c r="L227" s="717">
        <v>2526</v>
      </c>
      <c r="M227" s="728">
        <v>3381</v>
      </c>
    </row>
    <row r="228" spans="1:13" ht="13.5" hidden="1" thickTop="1" x14ac:dyDescent="0.2">
      <c r="L228" s="570"/>
    </row>
    <row r="229" spans="1:13" x14ac:dyDescent="0.2">
      <c r="L229" s="570"/>
    </row>
    <row r="230" spans="1:13" x14ac:dyDescent="0.2">
      <c r="L230" s="570"/>
    </row>
    <row r="231" spans="1:13" x14ac:dyDescent="0.2">
      <c r="L231" s="570"/>
    </row>
    <row r="232" spans="1:13" x14ac:dyDescent="0.2">
      <c r="L232" s="570"/>
    </row>
    <row r="233" spans="1:13" x14ac:dyDescent="0.2">
      <c r="L233" s="570"/>
    </row>
    <row r="234" spans="1:13" x14ac:dyDescent="0.2">
      <c r="L234" s="570"/>
    </row>
    <row r="235" spans="1:13" x14ac:dyDescent="0.2">
      <c r="L235" s="570"/>
    </row>
    <row r="236" spans="1:13" x14ac:dyDescent="0.2">
      <c r="L236" s="570"/>
    </row>
    <row r="237" spans="1:13" x14ac:dyDescent="0.2">
      <c r="L237" s="570"/>
    </row>
    <row r="238" spans="1:13" x14ac:dyDescent="0.2">
      <c r="L238" s="570"/>
    </row>
    <row r="239" spans="1:13" x14ac:dyDescent="0.2">
      <c r="L239" s="570"/>
    </row>
    <row r="240" spans="1:13" x14ac:dyDescent="0.2">
      <c r="L240" s="570"/>
    </row>
    <row r="241" spans="12:12" x14ac:dyDescent="0.2">
      <c r="L241" s="570"/>
    </row>
    <row r="242" spans="12:12" x14ac:dyDescent="0.2">
      <c r="L242" s="570"/>
    </row>
    <row r="243" spans="12:12" x14ac:dyDescent="0.2">
      <c r="L243" s="570"/>
    </row>
    <row r="244" spans="12:12" x14ac:dyDescent="0.2">
      <c r="L244" s="570"/>
    </row>
    <row r="245" spans="12:12" x14ac:dyDescent="0.2">
      <c r="L245" s="570"/>
    </row>
    <row r="246" spans="12:12" x14ac:dyDescent="0.2">
      <c r="L246" s="570"/>
    </row>
    <row r="247" spans="12:12" x14ac:dyDescent="0.2">
      <c r="L247" s="570"/>
    </row>
    <row r="248" spans="12:12" x14ac:dyDescent="0.2">
      <c r="L248" s="570"/>
    </row>
    <row r="249" spans="12:12" x14ac:dyDescent="0.2">
      <c r="L249" s="570"/>
    </row>
    <row r="250" spans="12:12" x14ac:dyDescent="0.2">
      <c r="L250" s="570"/>
    </row>
    <row r="251" spans="12:12" x14ac:dyDescent="0.2">
      <c r="L251" s="570"/>
    </row>
    <row r="252" spans="12:12" x14ac:dyDescent="0.2">
      <c r="L252" s="570"/>
    </row>
    <row r="253" spans="12:12" x14ac:dyDescent="0.2">
      <c r="L253" s="570"/>
    </row>
    <row r="254" spans="12:12" x14ac:dyDescent="0.2">
      <c r="L254" s="570"/>
    </row>
    <row r="255" spans="12:12" x14ac:dyDescent="0.2">
      <c r="L255" s="570"/>
    </row>
    <row r="256" spans="12:12" x14ac:dyDescent="0.2">
      <c r="L256" s="570"/>
    </row>
    <row r="257" spans="12:12" x14ac:dyDescent="0.2">
      <c r="L257" s="570"/>
    </row>
    <row r="258" spans="12:12" x14ac:dyDescent="0.2">
      <c r="L258" s="570"/>
    </row>
    <row r="259" spans="12:12" x14ac:dyDescent="0.2">
      <c r="L259" s="570"/>
    </row>
    <row r="260" spans="12:12" x14ac:dyDescent="0.2">
      <c r="L260" s="570"/>
    </row>
    <row r="261" spans="12:12" x14ac:dyDescent="0.2">
      <c r="L261" s="570"/>
    </row>
    <row r="262" spans="12:12" x14ac:dyDescent="0.2">
      <c r="L262" s="570"/>
    </row>
    <row r="263" spans="12:12" x14ac:dyDescent="0.2">
      <c r="L263" s="570"/>
    </row>
    <row r="264" spans="12:12" x14ac:dyDescent="0.2">
      <c r="L264" s="570"/>
    </row>
    <row r="265" spans="12:12" x14ac:dyDescent="0.2">
      <c r="L265" s="570"/>
    </row>
    <row r="266" spans="12:12" x14ac:dyDescent="0.2">
      <c r="L266" s="570"/>
    </row>
    <row r="267" spans="12:12" x14ac:dyDescent="0.2">
      <c r="L267" s="570"/>
    </row>
    <row r="268" spans="12:12" x14ac:dyDescent="0.2">
      <c r="L268" s="570"/>
    </row>
    <row r="269" spans="12:12" x14ac:dyDescent="0.2">
      <c r="L269" s="570"/>
    </row>
  </sheetData>
  <sheetProtection sheet="1" objects="1" scenarios="1" selectLockedCells="1"/>
  <mergeCells count="28">
    <mergeCell ref="A1:I1"/>
    <mergeCell ref="A2:I2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32:C32"/>
    <mergeCell ref="D32:E32"/>
    <mergeCell ref="B33:C33"/>
    <mergeCell ref="D33:E33"/>
    <mergeCell ref="B29:C29"/>
    <mergeCell ref="D29:E29"/>
    <mergeCell ref="B30:C30"/>
    <mergeCell ref="D30:E30"/>
    <mergeCell ref="B31:C31"/>
    <mergeCell ref="D31:E3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16</vt:i4>
      </vt:variant>
      <vt:variant>
        <vt:lpstr>Navngivne områder</vt:lpstr>
      </vt:variant>
      <vt:variant>
        <vt:i4>8</vt:i4>
      </vt:variant>
    </vt:vector>
  </HeadingPairs>
  <TitlesOfParts>
    <vt:vector size="24" baseType="lpstr">
      <vt:lpstr>OPTIMA Compact</vt:lpstr>
      <vt:lpstr>OPTIMA Compact Flanged</vt:lpstr>
      <vt:lpstr>COMBIFLOW</vt:lpstr>
      <vt:lpstr>OPTIMIZER 6 way</vt:lpstr>
      <vt:lpstr>ALPHA</vt:lpstr>
      <vt:lpstr>ALPHA Wafer</vt:lpstr>
      <vt:lpstr>SIGMA Compact</vt:lpstr>
      <vt:lpstr>SIGMA Compact Flange</vt:lpstr>
      <vt:lpstr>PV Compact</vt:lpstr>
      <vt:lpstr>PV-SIGMA</vt:lpstr>
      <vt:lpstr>Frese VODRV</vt:lpstr>
      <vt:lpstr>Frese VODRV flanged 2024</vt:lpstr>
      <vt:lpstr>OPTIMA Compact Veriflow FCP</vt:lpstr>
      <vt:lpstr>OPTIMA Compact Veriflow fl FCP</vt:lpstr>
      <vt:lpstr>Frese VODRV FCP</vt:lpstr>
      <vt:lpstr>Frese VODRV flanged FCP 2024</vt:lpstr>
      <vt:lpstr>'OPTIMA Compact'!Udskriftsområde</vt:lpstr>
      <vt:lpstr>'OPTIMA Compact Flanged'!Udskriftsområde</vt:lpstr>
      <vt:lpstr>'OPTIMA Compact Veriflow FCP'!Udskriftsområde</vt:lpstr>
      <vt:lpstr>'OPTIMA Compact Veriflow fl FCP'!Udskriftsområde</vt:lpstr>
      <vt:lpstr>'PV Compact'!Udskriftsområde</vt:lpstr>
      <vt:lpstr>'PV-SIGMA'!Udskriftsområde</vt:lpstr>
      <vt:lpstr>'SIGMA Compact'!Udskriftsområde</vt:lpstr>
      <vt:lpstr>'SIGMA Compact Flange'!Udskriftsområde</vt:lpstr>
    </vt:vector>
  </TitlesOfParts>
  <Company>Frese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Johansen</dc:creator>
  <cp:lastModifiedBy>Johansen, Jens</cp:lastModifiedBy>
  <cp:lastPrinted>2016-03-04T13:40:24Z</cp:lastPrinted>
  <dcterms:created xsi:type="dcterms:W3CDTF">2004-11-24T15:05:14Z</dcterms:created>
  <dcterms:modified xsi:type="dcterms:W3CDTF">2026-02-04T13:24:06Z</dcterms:modified>
</cp:coreProperties>
</file>